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4"/>
  </bookViews>
  <sheets>
    <sheet name="BS" sheetId="1" r:id="rId1"/>
    <sheet name="S.Equity" sheetId="2" r:id="rId2"/>
    <sheet name="CI" sheetId="3" r:id="rId3"/>
    <sheet name="P&amp;L" sheetId="4" r:id="rId4"/>
    <sheet name="CF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'BS'!$A$1:$K$85</definedName>
    <definedName name="_xlnm.Print_Area" localSheetId="4">'CFS'!$A$1:$L$85</definedName>
    <definedName name="_xlnm.Print_Area" localSheetId="3">'P&amp;L'!$A$1:$J$92</definedName>
    <definedName name="_xlnm.Print_Area" localSheetId="1">'S.Equity'!$A$1:$M$57</definedName>
    <definedName name="_xlnm.Print_Titles" localSheetId="3">'P&amp;L'!$18:$23</definedName>
  </definedNames>
  <calcPr fullCalcOnLoad="1"/>
</workbook>
</file>

<file path=xl/sharedStrings.xml><?xml version="1.0" encoding="utf-8"?>
<sst xmlns="http://schemas.openxmlformats.org/spreadsheetml/2006/main" count="315" uniqueCount="237">
  <si>
    <t xml:space="preserve">INSAS BERHAD </t>
  </si>
  <si>
    <t xml:space="preserve">    RM'000</t>
  </si>
  <si>
    <t/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</si>
  <si>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</si>
  <si>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</si>
  <si>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</si>
  <si>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</si>
  <si>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</si>
  <si>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</si>
  <si>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</si>
  <si>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</si>
  <si>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</si>
  <si>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</si>
  <si>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</si>
  <si>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</si>
  <si>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</si>
  <si>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</si>
  <si>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</si>
  <si>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</si>
  <si>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</si>
  <si>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</si>
  <si>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</si>
  <si>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</si>
  <si>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</si>
  <si>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>- Basic</t>
  </si>
  <si>
    <t>- Diluted</t>
  </si>
  <si>
    <t>Share</t>
  </si>
  <si>
    <t xml:space="preserve">Share </t>
  </si>
  <si>
    <t>Reserve</t>
  </si>
  <si>
    <t>Exchange</t>
  </si>
  <si>
    <t>Treasury</t>
  </si>
  <si>
    <t>Total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</si>
  <si>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</si>
  <si>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</si>
  <si>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</si>
  <si>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</si>
  <si>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</si>
  <si>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</si>
  <si>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</si>
  <si>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</si>
  <si>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</si>
  <si>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</si>
  <si>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</si>
  <si>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</si>
  <si>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</si>
  <si>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</si>
  <si>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</si>
  <si>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</si>
  <si>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Note 1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</si>
  <si>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</si>
  <si>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</si>
  <si>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</si>
  <si>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</si>
  <si>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</si>
  <si>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</si>
  <si>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Tax recoverable</t>
  </si>
  <si>
    <t xml:space="preserve">Quarter ended </t>
  </si>
  <si>
    <t>corresponding</t>
  </si>
  <si>
    <t>ASSETS</t>
  </si>
  <si>
    <t>TOTAL ASSETS</t>
  </si>
  <si>
    <t>EQUITY AND LIABILITIES</t>
  </si>
  <si>
    <t>TOTAL LIABILITIES</t>
  </si>
  <si>
    <t>TOTAL EQUITY AND LIABILITIES</t>
  </si>
  <si>
    <t xml:space="preserve">Total 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</si>
  <si>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</si>
  <si>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</si>
  <si>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</si>
  <si>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</si>
  <si>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</si>
  <si>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</si>
  <si>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Trade receivables</t>
  </si>
  <si>
    <t>Other receivables, deposits and prepayments</t>
  </si>
  <si>
    <t xml:space="preserve">Trade payables </t>
  </si>
  <si>
    <t>Other payables and accruals</t>
  </si>
  <si>
    <t>capital</t>
  </si>
  <si>
    <t>premium</t>
  </si>
  <si>
    <t>fund</t>
  </si>
  <si>
    <t>translation</t>
  </si>
  <si>
    <t>reserve</t>
  </si>
  <si>
    <t>shares</t>
  </si>
  <si>
    <t>interests</t>
  </si>
  <si>
    <t>equity</t>
  </si>
  <si>
    <t>Exceptional items</t>
  </si>
  <si>
    <t>Property, plant and equipment</t>
  </si>
  <si>
    <t>Investment properties</t>
  </si>
  <si>
    <t>Land held for development</t>
  </si>
  <si>
    <t>Intangible assets</t>
  </si>
  <si>
    <t>Deferred tax assets</t>
  </si>
  <si>
    <t>Share capital</t>
  </si>
  <si>
    <t>Reserves</t>
  </si>
  <si>
    <t>Deferred tax liabilities</t>
  </si>
  <si>
    <t xml:space="preserve">Share of profit less losses of </t>
  </si>
  <si>
    <t xml:space="preserve"> associate companies</t>
  </si>
  <si>
    <t>Property development costs</t>
  </si>
  <si>
    <t>Other income</t>
  </si>
  <si>
    <t xml:space="preserve">                          INSAS BERHAD </t>
  </si>
  <si>
    <t>Changes in working capital :-</t>
  </si>
  <si>
    <t>Payment for intangible assets</t>
  </si>
  <si>
    <t>Current financial</t>
  </si>
  <si>
    <t xml:space="preserve">Current </t>
  </si>
  <si>
    <t>financial quarter ended</t>
  </si>
  <si>
    <t>Associate companies</t>
  </si>
  <si>
    <t>Tax payable</t>
  </si>
  <si>
    <t>Repayment of loans and borrowings</t>
  </si>
  <si>
    <t>Bank overdrafts</t>
  </si>
  <si>
    <t>Hire purchase payables</t>
  </si>
  <si>
    <t>Repayment of hire purchase payables</t>
  </si>
  <si>
    <t>Note</t>
  </si>
  <si>
    <t>n/a</t>
  </si>
  <si>
    <t xml:space="preserve"> jointly controlled entities</t>
  </si>
  <si>
    <t>Repurchase of shares</t>
  </si>
  <si>
    <t>Net cash used in share buyback</t>
  </si>
  <si>
    <t>Amount due from associate companies</t>
  </si>
  <si>
    <t>Payment for development expenditure</t>
  </si>
  <si>
    <t>Drawdown of loans and borrowings</t>
  </si>
  <si>
    <t>Treasury shares</t>
  </si>
  <si>
    <t>Non-controlling interests</t>
  </si>
  <si>
    <t>Net assets per share attributable to owners</t>
  </si>
  <si>
    <t>As at 1 July 2010</t>
  </si>
  <si>
    <t>Non-</t>
  </si>
  <si>
    <t>controlling</t>
  </si>
  <si>
    <t xml:space="preserve">Retained </t>
  </si>
  <si>
    <t>FY 2011</t>
  </si>
  <si>
    <t>Financial Statements)</t>
  </si>
  <si>
    <t>Other comprehensive income</t>
  </si>
  <si>
    <t xml:space="preserve"> Total comprehensive income for the financial</t>
  </si>
  <si>
    <t xml:space="preserve">  period</t>
  </si>
  <si>
    <t>Available for sale investments</t>
  </si>
  <si>
    <t>Held to maturity investments</t>
  </si>
  <si>
    <t>Financial assets at fair value through profit or loss</t>
  </si>
  <si>
    <t>Other comprehensive income/(loss)</t>
  </si>
  <si>
    <t xml:space="preserve"> in subsidiary companies</t>
  </si>
  <si>
    <t>Available for</t>
  </si>
  <si>
    <t>sale investment</t>
  </si>
  <si>
    <t>- As previously reported</t>
  </si>
  <si>
    <t>As restated</t>
  </si>
  <si>
    <t>fair value reserve</t>
  </si>
  <si>
    <t>Purchase of held to maturity investments</t>
  </si>
  <si>
    <t>Proceeds from disposal of available for sale investments</t>
  </si>
  <si>
    <t>Total comprehensive income/</t>
  </si>
  <si>
    <t>Tax paid</t>
  </si>
  <si>
    <t>Non-current assets</t>
  </si>
  <si>
    <t>Current assets</t>
  </si>
  <si>
    <t>Non-current assets classified as held for sale</t>
  </si>
  <si>
    <t>Total equity</t>
  </si>
  <si>
    <t>Non-current liabilities</t>
  </si>
  <si>
    <t>Current liabilities</t>
  </si>
  <si>
    <t xml:space="preserve">   (excluding Non-controlling interests) divided by the total number of ordinary shares, net of shares bought back.</t>
  </si>
  <si>
    <t>Proceeds from redemption and disposal of held to maturity investments</t>
  </si>
  <si>
    <t>(The Condensed Consolidated Statements of Cash Flows should be read in conjunction with the audited financial statements</t>
  </si>
  <si>
    <t>Tax refund</t>
  </si>
  <si>
    <t>Net cash generated from investing activities</t>
  </si>
  <si>
    <t>Total non-current assets</t>
  </si>
  <si>
    <t>Equity attributable to owners of the Parent</t>
  </si>
  <si>
    <t>of the Parent (RM)*</t>
  </si>
  <si>
    <t>* Net assets per share attributable to owners of the Parent is computed based on Total Shareholders' Funds</t>
  </si>
  <si>
    <t>Owners of the Parent</t>
  </si>
  <si>
    <t>Transactions with owners:-</t>
  </si>
  <si>
    <t>Total transactions with owners</t>
  </si>
  <si>
    <t>Net cash outflow on dilution of equity interest in subsidiary companies</t>
  </si>
  <si>
    <t>30/06/2011</t>
  </si>
  <si>
    <t>Derivative financial liabilities</t>
  </si>
  <si>
    <t>Retained earnings</t>
  </si>
  <si>
    <t xml:space="preserve">statements for the financial year ended 30 June 2011 and the accompanying explanatory notes attached to the Interim </t>
  </si>
  <si>
    <t xml:space="preserve">- Adoption of FRS 139 </t>
  </si>
  <si>
    <t xml:space="preserve">Dilution of equity interests </t>
  </si>
  <si>
    <t xml:space="preserve"> (loss) for the period</t>
  </si>
  <si>
    <t>ended 30 June 2011 and the accompanying explanatory notes attached to the Interim Financial Statements)</t>
  </si>
  <si>
    <t>Balance at 1 July 2011</t>
  </si>
  <si>
    <t>period ended</t>
  </si>
  <si>
    <t>Financial period</t>
  </si>
  <si>
    <t>FY 2012</t>
  </si>
  <si>
    <t>Foreign currency translation</t>
  </si>
  <si>
    <t xml:space="preserve">  available for sale investments</t>
  </si>
  <si>
    <t xml:space="preserve">Transfer of fair value gain on available for </t>
  </si>
  <si>
    <t xml:space="preserve">  sale investments upon disposal</t>
  </si>
  <si>
    <t>financial year ended 30 June 2011 and the accompanying explanatory notes attached to the Interim Financial Statements)</t>
  </si>
  <si>
    <t>(Loss)/earnings per share (in sen)</t>
  </si>
  <si>
    <t>Period ended</t>
  </si>
  <si>
    <t>financial period</t>
  </si>
  <si>
    <t>for the financial year ended 30 June 2011 and the accompanying explanatory notes attached to the Interim Financial Statements)</t>
  </si>
  <si>
    <t>Operating profit/(loss) before working capital changes</t>
  </si>
  <si>
    <t>Cash (used in)/generated from operations</t>
  </si>
  <si>
    <t>Net cash (used in)/generated from operating activities</t>
  </si>
  <si>
    <t>Net cash generated from/(used in) financing activities</t>
  </si>
  <si>
    <t>Cash and cash equivalents at beginning of the financial period</t>
  </si>
  <si>
    <t xml:space="preserve">  companies</t>
  </si>
  <si>
    <t>Subscription of shares in an associate company</t>
  </si>
  <si>
    <t>earnings</t>
  </si>
  <si>
    <t>&lt; -------------------------------------------- Attributable to Owners of the Parent -------------------------------------------- &gt;</t>
  </si>
  <si>
    <t xml:space="preserve"> the quarter/period</t>
  </si>
  <si>
    <t>Included in Other operating expenses are the following items :-</t>
  </si>
  <si>
    <t>Included in Other income are the following items :-</t>
  </si>
  <si>
    <t>Exceptional items represent :-</t>
  </si>
  <si>
    <t>&lt; ---- Distributable -------- &gt;</t>
  </si>
  <si>
    <t>Cash and cash equivalents at end of the financial period</t>
  </si>
  <si>
    <t>&lt; ---------------------------- Non-Distributable ----------------------------- &gt;</t>
  </si>
  <si>
    <t>CONDENSED CONSOLIDATED STATEMENTS OF FINANCIAL POSITION</t>
  </si>
  <si>
    <t>Jointly controlled entities</t>
  </si>
  <si>
    <t xml:space="preserve">(The Condensed Consolidated Statements of Financial Position should be read in conjunction with the audited financial </t>
  </si>
  <si>
    <t xml:space="preserve">(The Condensed Consolidated Statements of Changes in Equity should be read in conjunction with the audited financial statements for the financial year </t>
  </si>
  <si>
    <t>CONDENSED CONSOLIDATED STATEMENTS OF COMPREHENSIVE INCOME</t>
  </si>
  <si>
    <t xml:space="preserve">(The Condensed Consolidated Statements of Comprehensive Income should be read in conjunction with the audited financial statements for the </t>
  </si>
  <si>
    <t>CONDENSED CONSOLIDATED INCOME STATEMENTS</t>
  </si>
  <si>
    <t>28 February 2012</t>
  </si>
  <si>
    <t>UNAUDITED FINANCIAL REPORT FOR THE SECOND QUARTER AND 6 MONTHS FINANCIAL PERIOD ENDED 31 DECEMBER 2011.</t>
  </si>
  <si>
    <t>31/12/2011</t>
  </si>
  <si>
    <t>31/12/2010</t>
  </si>
  <si>
    <t>(Loss)/Gain on disposal of quoted securities</t>
  </si>
  <si>
    <t>UNAUDITED FINANCIAL REPORT  FOR THE SECOND QUARTER AND 6 MONTHS FINANCIAL PERIOD ENDED 31 DECEMBER 2011.</t>
  </si>
  <si>
    <t>CONDENSED CONSOLIDATED STATEMENTS OF CASH FLOWS FOR THE SECOND QUARTER AND 6 MONTHS FINANCIAL PERIOD</t>
  </si>
  <si>
    <t>ENDED 31 DECEMBER 2011.</t>
  </si>
  <si>
    <t>Proceeds from disposal of non-current assets held for sale</t>
  </si>
  <si>
    <t>(Increase)/decrease in fixed deposits pledged</t>
  </si>
  <si>
    <t>(Increase)/decrease in cash and bank balances pledged</t>
  </si>
  <si>
    <t>CONDENSED CONSOLIDATED STATEMENTS OF CHANGES IN EQUITY FOR THE SECOND QUARTER AND 6 MONTHS FINANCIAL PERIOD ENDED 31 DECEMBER 2011.</t>
  </si>
  <si>
    <t>Period ended 31 December 2011</t>
  </si>
  <si>
    <t>Balance at 31 December 2011</t>
  </si>
  <si>
    <t>Period ended 31 December 2010</t>
  </si>
  <si>
    <t>Balance at 31 December 2010</t>
  </si>
  <si>
    <t>Purchase of available for sale investments</t>
  </si>
  <si>
    <t>Derivative financial assets</t>
  </si>
  <si>
    <t>Impairment of financial assets at fair value through</t>
  </si>
  <si>
    <t xml:space="preserve">  profit or loss</t>
  </si>
  <si>
    <t>Allowance for doubtful debts no longer required</t>
  </si>
  <si>
    <t xml:space="preserve">Writeback of impairment of financial assets at  </t>
  </si>
  <si>
    <t xml:space="preserve">  fair value through profit or loss</t>
  </si>
  <si>
    <t>Gain on dilution of equity interest in associate</t>
  </si>
  <si>
    <t>Gain on capital repayment by an associated company</t>
  </si>
  <si>
    <t>Profit/(loss) for the quarter/period</t>
  </si>
  <si>
    <t>Profit/(loss) attributable to :</t>
  </si>
  <si>
    <t>Profit before taxation</t>
  </si>
  <si>
    <t>Net (decrease)/increase in cash and cash equivalents</t>
  </si>
  <si>
    <t>Gain on dilution of equity interest in subsidiary</t>
  </si>
  <si>
    <t>Unrealised gain on fair value changes on</t>
  </si>
  <si>
    <t xml:space="preserve">Total other comprehensive income for </t>
  </si>
  <si>
    <t xml:space="preserve">Total comprehensive income for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</si>
</sst>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  <numFmt numFmtId="174" formatCode="0.00_);\(0.00\)"/>
    <numFmt numFmtId="175" formatCode="[$-409]h:mm:ss\ AM/PM"/>
  </numFmts>
  <fonts count="9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0" fontId="2" fillId="0" borderId="3" xfId="0" applyFont="1" applyBorder="1" applyAlignment="1" quotePrefix="1">
      <alignment horizontal="left"/>
    </xf>
    <xf numFmtId="39" fontId="2" fillId="0" borderId="3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4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center"/>
    </xf>
    <xf numFmtId="15" fontId="2" fillId="0" borderId="4" xfId="0" applyNumberFormat="1" applyFont="1" applyBorder="1" applyAlignment="1" quotePrefix="1">
      <alignment horizontal="center"/>
    </xf>
    <xf numFmtId="166" fontId="0" fillId="0" borderId="4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9" xfId="15" applyNumberFormat="1" applyBorder="1" applyAlignment="1">
      <alignment/>
    </xf>
    <xf numFmtId="166" fontId="0" fillId="0" borderId="4" xfId="15" applyNumberFormat="1" applyBorder="1" applyAlignment="1">
      <alignment horizontal="right"/>
    </xf>
    <xf numFmtId="38" fontId="0" fillId="0" borderId="6" xfId="0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9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0" fillId="0" borderId="10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4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66" fontId="2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39" fontId="2" fillId="0" borderId="0" xfId="0" applyNumberFormat="1" applyFont="1" applyAlignment="1" quotePrefix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39" fontId="3" fillId="0" borderId="0" xfId="0" applyNumberFormat="1" applyFont="1" applyAlignment="1" quotePrefix="1">
      <alignment/>
    </xf>
    <xf numFmtId="38" fontId="0" fillId="0" borderId="2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166" fontId="0" fillId="0" borderId="0" xfId="15" applyNumberForma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 quotePrefix="1">
      <alignment horizontal="center"/>
    </xf>
    <xf numFmtId="38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8" fontId="0" fillId="0" borderId="1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166" fontId="0" fillId="0" borderId="7" xfId="15" applyNumberForma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66" fontId="0" fillId="0" borderId="6" xfId="15" applyNumberFormat="1" applyFill="1" applyBorder="1" applyAlignment="1">
      <alignment/>
    </xf>
    <xf numFmtId="166" fontId="0" fillId="0" borderId="2" xfId="15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15" fontId="2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6" fontId="2" fillId="0" borderId="11" xfId="15" applyNumberFormat="1" applyFont="1" applyFill="1" applyBorder="1" applyAlignment="1">
      <alignment/>
    </xf>
    <xf numFmtId="166" fontId="2" fillId="0" borderId="12" xfId="15" applyNumberFormat="1" applyFont="1" applyFill="1" applyBorder="1" applyAlignment="1">
      <alignment/>
    </xf>
    <xf numFmtId="166" fontId="2" fillId="0" borderId="13" xfId="15" applyNumberFormat="1" applyFont="1" applyFill="1" applyBorder="1" applyAlignment="1">
      <alignment/>
    </xf>
    <xf numFmtId="166" fontId="2" fillId="0" borderId="14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 horizontal="right"/>
    </xf>
    <xf numFmtId="166" fontId="2" fillId="0" borderId="9" xfId="15" applyNumberFormat="1" applyFont="1" applyFill="1" applyBorder="1" applyAlignment="1">
      <alignment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166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11" xfId="15" applyNumberFormat="1" applyFont="1" applyFill="1" applyBorder="1" applyAlignment="1">
      <alignment/>
    </xf>
    <xf numFmtId="43" fontId="2" fillId="0" borderId="11" xfId="15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2" fillId="0" borderId="0" xfId="15" applyNumberFormat="1" applyFont="1" applyFill="1" applyAlignment="1" quotePrefix="1">
      <alignment horizontal="center"/>
    </xf>
    <xf numFmtId="166" fontId="0" fillId="0" borderId="0" xfId="0" applyNumberFormat="1" applyFont="1" applyFill="1" applyBorder="1" applyAlignment="1">
      <alignment horizontal="left"/>
    </xf>
    <xf numFmtId="43" fontId="0" fillId="0" borderId="4" xfId="15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5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166" fontId="2" fillId="0" borderId="16" xfId="15" applyNumberFormat="1" applyFont="1" applyFill="1" applyBorder="1" applyAlignment="1">
      <alignment/>
    </xf>
    <xf numFmtId="166" fontId="0" fillId="0" borderId="17" xfId="15" applyNumberFormat="1" applyBorder="1" applyAlignment="1">
      <alignment/>
    </xf>
    <xf numFmtId="37" fontId="0" fillId="0" borderId="0" xfId="0" applyNumberFormat="1" applyFont="1" applyFill="1" applyAlignment="1">
      <alignment/>
    </xf>
    <xf numFmtId="166" fontId="7" fillId="0" borderId="0" xfId="15" applyNumberFormat="1" applyFont="1" applyAlignment="1">
      <alignment/>
    </xf>
    <xf numFmtId="166" fontId="0" fillId="0" borderId="17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0" xfId="15" applyNumberFormat="1" applyFont="1" applyFill="1" applyAlignment="1">
      <alignment/>
    </xf>
    <xf numFmtId="37" fontId="2" fillId="0" borderId="11" xfId="15" applyNumberFormat="1" applyFont="1" applyFill="1" applyBorder="1" applyAlignment="1">
      <alignment/>
    </xf>
    <xf numFmtId="166" fontId="2" fillId="0" borderId="9" xfId="15" applyNumberFormat="1" applyFont="1" applyFill="1" applyBorder="1" applyAlignment="1">
      <alignment horizontal="center"/>
    </xf>
    <xf numFmtId="166" fontId="0" fillId="0" borderId="15" xfId="15" applyNumberFormat="1" applyFill="1" applyBorder="1" applyAlignment="1">
      <alignment/>
    </xf>
    <xf numFmtId="166" fontId="0" fillId="0" borderId="15" xfId="15" applyNumberFormat="1" applyBorder="1" applyAlignment="1">
      <alignment/>
    </xf>
    <xf numFmtId="15" fontId="2" fillId="0" borderId="0" xfId="0" applyNumberFormat="1" applyFont="1" applyBorder="1" applyAlignment="1" quotePrefix="1">
      <alignment horizontal="center"/>
    </xf>
    <xf numFmtId="38" fontId="2" fillId="0" borderId="0" xfId="0" applyNumberFormat="1" applyFont="1" applyBorder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166" fontId="0" fillId="0" borderId="9" xfId="15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166" fontId="2" fillId="0" borderId="0" xfId="15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e\con062011(FV%20&amp;%20derivatives)\Eps06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122011\Con1211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122011\Fundfl12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122011\Eps12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con122011\Con1211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con122011\info%20-%20disposal%20of%20sh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Sept10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683567.148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MRSumm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sol Adjustments"/>
      <sheetName val="CON95PA-1.XLS"/>
      <sheetName val="SUMMA.XLS"/>
      <sheetName val="wassot&amp;p"/>
      <sheetName val="ASSC.XLS"/>
      <sheetName val="Equity acctg for inv in JCE"/>
      <sheetName val="JCE-NL's 2nd PR"/>
      <sheetName val="RPT"/>
      <sheetName val="Conso Notes to accts"/>
      <sheetName val="Analysis of staff costs "/>
      <sheetName val="Project interest recognised"/>
      <sheetName val="MINORITY.XLS"/>
      <sheetName val="Goodwill"/>
      <sheetName val="IP-DirectOE"/>
    </sheetNames>
    <sheetDataSet>
      <sheetData sheetId="10">
        <row r="10">
          <cell r="X10">
            <v>42667.147847555</v>
          </cell>
        </row>
        <row r="16">
          <cell r="X16">
            <v>45968.11332743661</v>
          </cell>
        </row>
        <row r="20">
          <cell r="X20">
            <v>40696.023786000005</v>
          </cell>
        </row>
        <row r="23">
          <cell r="X23">
            <v>10201</v>
          </cell>
        </row>
        <row r="24">
          <cell r="X24">
            <v>35625</v>
          </cell>
        </row>
        <row r="25">
          <cell r="X25">
            <v>0</v>
          </cell>
        </row>
        <row r="28">
          <cell r="X28">
            <v>17171.21757</v>
          </cell>
        </row>
        <row r="30">
          <cell r="X30">
            <v>37576</v>
          </cell>
        </row>
        <row r="32">
          <cell r="X32">
            <v>104005.6684</v>
          </cell>
        </row>
        <row r="37">
          <cell r="X37">
            <v>3674.3228</v>
          </cell>
        </row>
        <row r="40">
          <cell r="X40">
            <v>318874.59462161997</v>
          </cell>
        </row>
        <row r="42">
          <cell r="X42">
            <v>26788.845607814965</v>
          </cell>
        </row>
        <row r="45">
          <cell r="X45">
            <v>5156.69224</v>
          </cell>
        </row>
        <row r="46">
          <cell r="X46">
            <v>2079.59172</v>
          </cell>
        </row>
        <row r="47">
          <cell r="X47">
            <v>93691.0131825</v>
          </cell>
        </row>
        <row r="48">
          <cell r="X48">
            <v>54279</v>
          </cell>
        </row>
        <row r="50">
          <cell r="X50">
            <v>5686.5204</v>
          </cell>
        </row>
        <row r="51">
          <cell r="X51">
            <v>139974.72087000002</v>
          </cell>
        </row>
        <row r="62">
          <cell r="X62">
            <v>0</v>
          </cell>
        </row>
        <row r="63">
          <cell r="X63">
            <v>17266.34077632719</v>
          </cell>
        </row>
        <row r="64">
          <cell r="X64">
            <v>212066.329589612</v>
          </cell>
        </row>
        <row r="65">
          <cell r="X65">
            <v>121569.55531</v>
          </cell>
        </row>
        <row r="66">
          <cell r="X66">
            <v>71665.72603888501</v>
          </cell>
        </row>
        <row r="67">
          <cell r="X67">
            <v>7993</v>
          </cell>
        </row>
        <row r="71">
          <cell r="X71">
            <v>107889.445731395</v>
          </cell>
        </row>
        <row r="72">
          <cell r="X72">
            <v>0</v>
          </cell>
        </row>
        <row r="73">
          <cell r="X73">
            <v>90435.03656696899</v>
          </cell>
        </row>
        <row r="74">
          <cell r="X74">
            <v>3887.1224</v>
          </cell>
        </row>
        <row r="75">
          <cell r="X75">
            <v>6390.739</v>
          </cell>
        </row>
        <row r="79">
          <cell r="X79">
            <v>1491.476043682</v>
          </cell>
        </row>
        <row r="80">
          <cell r="X80">
            <v>73044</v>
          </cell>
        </row>
        <row r="82">
          <cell r="X82">
            <v>137848.179</v>
          </cell>
        </row>
        <row r="83">
          <cell r="X83">
            <v>0</v>
          </cell>
        </row>
        <row r="84">
          <cell r="X84">
            <v>24843</v>
          </cell>
        </row>
        <row r="90">
          <cell r="X90">
            <v>0.00017999999998603017</v>
          </cell>
        </row>
        <row r="95">
          <cell r="X95">
            <v>693334.4933726199</v>
          </cell>
        </row>
        <row r="98">
          <cell r="X98">
            <v>22501</v>
          </cell>
        </row>
        <row r="99">
          <cell r="X99">
            <v>54488.45721</v>
          </cell>
        </row>
        <row r="102">
          <cell r="X102">
            <v>1199</v>
          </cell>
        </row>
        <row r="103">
          <cell r="X103">
            <v>-6840</v>
          </cell>
        </row>
        <row r="104">
          <cell r="X104">
            <v>566.0124945546736</v>
          </cell>
        </row>
        <row r="119">
          <cell r="X119">
            <v>177205.7457647508</v>
          </cell>
        </row>
        <row r="121">
          <cell r="X121">
            <v>7975.802165465428</v>
          </cell>
        </row>
        <row r="128">
          <cell r="X128">
            <v>8272.845323861999</v>
          </cell>
        </row>
        <row r="131">
          <cell r="X131">
            <v>10145.9666</v>
          </cell>
        </row>
        <row r="186">
          <cell r="X186">
            <v>122789.74388588654</v>
          </cell>
        </row>
        <row r="246">
          <cell r="X246">
            <v>14263.217075443812</v>
          </cell>
        </row>
        <row r="247">
          <cell r="X247">
            <v>-330.4354054438036</v>
          </cell>
        </row>
        <row r="249">
          <cell r="X249">
            <v>197.868286</v>
          </cell>
        </row>
        <row r="251">
          <cell r="X251">
            <v>-2134.1121</v>
          </cell>
        </row>
        <row r="259">
          <cell r="X259">
            <v>-58.453309050914754</v>
          </cell>
        </row>
        <row r="613">
          <cell r="Q613">
            <v>18953.522099251</v>
          </cell>
        </row>
        <row r="653">
          <cell r="Q653">
            <v>1314</v>
          </cell>
        </row>
        <row r="694">
          <cell r="S694">
            <v>2404.987211102248</v>
          </cell>
        </row>
        <row r="705">
          <cell r="S705">
            <v>93515.30610999999</v>
          </cell>
        </row>
        <row r="706">
          <cell r="S706">
            <v>0</v>
          </cell>
        </row>
        <row r="708">
          <cell r="S708">
            <v>9473.047158037001</v>
          </cell>
        </row>
        <row r="712">
          <cell r="S712">
            <v>42969.683619493</v>
          </cell>
        </row>
        <row r="718">
          <cell r="S718">
            <v>4255.862050000003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 &amp; prepaid land lease"/>
      <sheetName val="assoco&amp;Derivative"/>
      <sheetName val="mi&amp;gw"/>
      <sheetName val="Sheet7"/>
      <sheetName val="summary"/>
      <sheetName val="cashflow"/>
      <sheetName val="LTI &amp; JCE"/>
      <sheetName val="mktsec&amp;ST investment"/>
      <sheetName val="HP"/>
      <sheetName val="L&amp;d"/>
      <sheetName val="dividend"/>
      <sheetName val="overdraft"/>
      <sheetName val="Disposal-FY2011"/>
      <sheetName val="Deem disposal - MHSB"/>
      <sheetName val="InvProp&amp;Intangible"/>
      <sheetName val="cash flow (co)"/>
      <sheetName val="Acq in FY11"/>
      <sheetName val="Disposal in FY1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1">
        <row r="9">
          <cell r="H9">
            <v>149.6875</v>
          </cell>
        </row>
        <row r="34">
          <cell r="H34">
            <v>224.35505</v>
          </cell>
        </row>
        <row r="36">
          <cell r="H36">
            <v>12</v>
          </cell>
        </row>
        <row r="45">
          <cell r="H45">
            <v>364.487614424</v>
          </cell>
        </row>
      </sheetData>
      <sheetData sheetId="8">
        <row r="47">
          <cell r="H47">
            <v>4255.862050000003</v>
          </cell>
        </row>
        <row r="48">
          <cell r="H48">
            <v>-4694.257600284</v>
          </cell>
        </row>
        <row r="55">
          <cell r="J55">
            <v>21931.802703104993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1852.4124716478339</v>
          </cell>
        </row>
        <row r="62">
          <cell r="H62">
            <v>0</v>
          </cell>
        </row>
        <row r="63">
          <cell r="H63">
            <v>-62397.015400894</v>
          </cell>
        </row>
        <row r="64">
          <cell r="H64">
            <v>-318.2478707895242</v>
          </cell>
        </row>
        <row r="65">
          <cell r="H65">
            <v>-141075.37797805792</v>
          </cell>
        </row>
        <row r="66">
          <cell r="H66">
            <v>-3162.0131825</v>
          </cell>
        </row>
        <row r="67">
          <cell r="H67">
            <v>0</v>
          </cell>
        </row>
        <row r="68">
          <cell r="H68">
            <v>4625.154510544533</v>
          </cell>
        </row>
        <row r="69">
          <cell r="H69">
            <v>0</v>
          </cell>
        </row>
        <row r="73">
          <cell r="H73">
            <v>4694.257600284</v>
          </cell>
        </row>
        <row r="74">
          <cell r="H74">
            <v>-4255.862050000003</v>
          </cell>
        </row>
        <row r="81">
          <cell r="H81">
            <v>-1400</v>
          </cell>
        </row>
        <row r="82">
          <cell r="H82">
            <v>1971.2322</v>
          </cell>
        </row>
        <row r="83">
          <cell r="H83">
            <v>-2786.2969836000007</v>
          </cell>
        </row>
        <row r="84">
          <cell r="H84">
            <v>1362.3544115490001</v>
          </cell>
        </row>
        <row r="86">
          <cell r="H86">
            <v>-2.6306799999999986</v>
          </cell>
        </row>
        <row r="88">
          <cell r="H88">
            <v>-7000</v>
          </cell>
        </row>
        <row r="89">
          <cell r="H89">
            <v>799.0906332360003</v>
          </cell>
        </row>
        <row r="91">
          <cell r="H91">
            <v>8386.33871</v>
          </cell>
        </row>
        <row r="94">
          <cell r="H94">
            <v>4666.475440000002</v>
          </cell>
        </row>
        <row r="96">
          <cell r="H96">
            <v>1965.043966266</v>
          </cell>
        </row>
        <row r="97">
          <cell r="H97">
            <v>0</v>
          </cell>
        </row>
        <row r="99">
          <cell r="H99">
            <v>0</v>
          </cell>
        </row>
        <row r="109">
          <cell r="H109">
            <v>-31351.48926139201</v>
          </cell>
        </row>
        <row r="110">
          <cell r="H110">
            <v>-1975.7313799999974</v>
          </cell>
        </row>
        <row r="111">
          <cell r="H111">
            <v>-3767.1675991999996</v>
          </cell>
        </row>
        <row r="112">
          <cell r="H112">
            <v>196009.69969702399</v>
          </cell>
        </row>
        <row r="113">
          <cell r="H113">
            <v>-108974.58353702398</v>
          </cell>
        </row>
        <row r="114">
          <cell r="H114">
            <v>-1953</v>
          </cell>
        </row>
        <row r="125">
          <cell r="H125">
            <v>367.56803296949755</v>
          </cell>
        </row>
        <row r="132">
          <cell r="H132">
            <v>48374.12845888501</v>
          </cell>
        </row>
        <row r="133">
          <cell r="H133">
            <v>41064.72233821999</v>
          </cell>
        </row>
        <row r="134">
          <cell r="H134">
            <v>-24843</v>
          </cell>
        </row>
      </sheetData>
      <sheetData sheetId="10">
        <row r="17">
          <cell r="F17">
            <v>176.61382947999664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Dec2011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680932.048</v>
          </cell>
        </row>
        <row r="46">
          <cell r="C46">
            <v>0.15663133110189206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MRSumm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sol Adjustments"/>
      <sheetName val="CON95PA-1.XLS"/>
      <sheetName val="SUMMA.XLS"/>
      <sheetName val="wassot&amp;p"/>
      <sheetName val="ASSC.XLS"/>
      <sheetName val="Equity acctg for inv in JCE"/>
      <sheetName val="JCE-NL's 2nd PR"/>
      <sheetName val="RPT"/>
      <sheetName val="Conso Notes to accts"/>
      <sheetName val="Analysis of staff costs "/>
      <sheetName val="Project interest recognised"/>
      <sheetName val="MINORITY.XLS"/>
      <sheetName val="Goodwill"/>
      <sheetName val="IP-DirectOE"/>
    </sheetNames>
    <sheetDataSet>
      <sheetData sheetId="10">
        <row r="49">
          <cell r="X49">
            <v>0</v>
          </cell>
        </row>
        <row r="246">
          <cell r="C246">
            <v>9151</v>
          </cell>
          <cell r="H246">
            <v>5112.217075443812</v>
          </cell>
        </row>
        <row r="471">
          <cell r="Q471">
            <v>23573.14789</v>
          </cell>
        </row>
        <row r="622">
          <cell r="Q622">
            <v>2407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25">
          <cell r="D25">
            <v>-600.50794</v>
          </cell>
          <cell r="G25">
            <v>-627.50794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85" zoomScaleNormal="85" workbookViewId="0" topLeftCell="A43">
      <selection activeCell="G37" sqref="G37"/>
    </sheetView>
  </sheetViews>
  <sheetFormatPr defaultColWidth="9.140625" defaultRowHeight="12.75"/>
  <cols>
    <col min="1" max="1" width="6.7109375" style="0" customWidth="1"/>
    <col min="2" max="2" width="18.7109375" style="0" customWidth="1"/>
    <col min="6" max="6" width="5.7109375" style="0" customWidth="1"/>
    <col min="7" max="7" width="16.7109375" style="0" customWidth="1"/>
    <col min="8" max="8" width="3.7109375" style="0" customWidth="1"/>
    <col min="9" max="9" width="21.7109375" style="0" customWidth="1"/>
    <col min="10" max="10" width="3.7109375" style="0" customWidth="1"/>
    <col min="11" max="11" width="20.7109375" style="0" customWidth="1"/>
  </cols>
  <sheetData>
    <row r="1" spans="1:10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97"/>
    </row>
    <row r="2" spans="1:10" ht="12.75">
      <c r="A2" s="182" t="s">
        <v>19</v>
      </c>
      <c r="B2" s="182"/>
      <c r="C2" s="182"/>
      <c r="D2" s="182"/>
      <c r="E2" s="182"/>
      <c r="F2" s="182"/>
      <c r="G2" s="182"/>
      <c r="H2" s="182"/>
      <c r="I2" s="182"/>
      <c r="J2" s="97"/>
    </row>
    <row r="3" spans="1:10" ht="12.75">
      <c r="A3" s="182" t="s">
        <v>20</v>
      </c>
      <c r="B3" s="182"/>
      <c r="C3" s="182"/>
      <c r="D3" s="182"/>
      <c r="E3" s="182"/>
      <c r="F3" s="182"/>
      <c r="G3" s="182"/>
      <c r="H3" s="182"/>
      <c r="I3" s="182"/>
      <c r="J3" s="26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92"/>
    </row>
    <row r="5" spans="1:11" ht="13.5" thickBot="1">
      <c r="A5" s="55" t="s">
        <v>209</v>
      </c>
      <c r="B5" s="37"/>
      <c r="C5" s="37"/>
      <c r="D5" s="37"/>
      <c r="E5" s="37"/>
      <c r="F5" s="37"/>
      <c r="G5" s="37"/>
      <c r="H5" s="37"/>
      <c r="I5" s="37"/>
      <c r="J5" s="38"/>
      <c r="K5" s="20"/>
    </row>
    <row r="6" spans="1:10" ht="15.75">
      <c r="A6" s="30"/>
      <c r="B6" s="28"/>
      <c r="C6" s="25"/>
      <c r="D6" s="26"/>
      <c r="E6" s="26"/>
      <c r="F6" s="26"/>
      <c r="G6" s="29"/>
      <c r="H6" s="29"/>
      <c r="I6" s="29"/>
      <c r="J6" s="92"/>
    </row>
    <row r="7" spans="1:10" ht="15.75">
      <c r="A7" s="35" t="s">
        <v>197</v>
      </c>
      <c r="B7" s="28"/>
      <c r="C7" s="25"/>
      <c r="D7" s="26"/>
      <c r="E7" s="26"/>
      <c r="F7" s="26"/>
      <c r="G7" s="116"/>
      <c r="H7" s="29"/>
      <c r="I7" s="98"/>
      <c r="J7" s="92"/>
    </row>
    <row r="8" spans="1:11" ht="12.75">
      <c r="A8" s="6"/>
      <c r="B8" s="7"/>
      <c r="C8" s="8"/>
      <c r="D8" s="9"/>
      <c r="E8" s="9"/>
      <c r="F8" s="9"/>
      <c r="H8" s="10"/>
      <c r="I8" s="177"/>
      <c r="K8" s="16"/>
    </row>
    <row r="9" spans="1:11" ht="12.75">
      <c r="A9" s="9"/>
      <c r="B9" s="8"/>
      <c r="C9" s="8"/>
      <c r="D9" s="9"/>
      <c r="E9" s="9"/>
      <c r="F9" s="9"/>
      <c r="G9" s="117"/>
      <c r="H9" s="10"/>
      <c r="I9" s="21" t="s">
        <v>52</v>
      </c>
      <c r="K9" s="16"/>
    </row>
    <row r="10" spans="1:11" ht="12.75">
      <c r="A10" s="9"/>
      <c r="B10" s="8"/>
      <c r="C10" s="8"/>
      <c r="D10" s="9"/>
      <c r="E10" s="9"/>
      <c r="F10" s="9"/>
      <c r="G10" s="117"/>
      <c r="H10" s="10"/>
      <c r="I10" s="21" t="s">
        <v>10</v>
      </c>
      <c r="K10" s="17"/>
    </row>
    <row r="11" spans="1:11" ht="12.75">
      <c r="A11" s="9"/>
      <c r="B11" s="8"/>
      <c r="C11" s="8"/>
      <c r="D11" s="9"/>
      <c r="E11" s="9"/>
      <c r="F11" s="9"/>
      <c r="G11" s="117" t="s">
        <v>9</v>
      </c>
      <c r="H11" s="2"/>
      <c r="I11" s="66" t="s">
        <v>51</v>
      </c>
      <c r="K11" s="170"/>
    </row>
    <row r="12" spans="1:11" ht="12.75">
      <c r="A12" s="9"/>
      <c r="B12" s="8"/>
      <c r="C12" s="8"/>
      <c r="D12" s="9"/>
      <c r="E12" s="9"/>
      <c r="F12" s="9"/>
      <c r="G12" s="118" t="s">
        <v>206</v>
      </c>
      <c r="H12" s="2"/>
      <c r="I12" s="64" t="s">
        <v>160</v>
      </c>
      <c r="K12" s="170"/>
    </row>
    <row r="13" spans="1:11" ht="12.75">
      <c r="A13" s="9"/>
      <c r="B13" s="8"/>
      <c r="C13" s="8"/>
      <c r="D13" s="9"/>
      <c r="E13" s="9"/>
      <c r="F13" s="9"/>
      <c r="G13" s="119" t="s">
        <v>1</v>
      </c>
      <c r="H13" s="31"/>
      <c r="I13" s="31" t="s">
        <v>5</v>
      </c>
      <c r="K13" s="171"/>
    </row>
    <row r="14" spans="1:11" ht="12.75">
      <c r="A14" s="4" t="s">
        <v>58</v>
      </c>
      <c r="B14" s="8"/>
      <c r="C14" s="8"/>
      <c r="D14" s="9"/>
      <c r="E14" s="9"/>
      <c r="F14" s="9"/>
      <c r="G14" s="120"/>
      <c r="K14" s="18"/>
    </row>
    <row r="15" spans="1:11" ht="12.75">
      <c r="A15" s="4" t="s">
        <v>141</v>
      </c>
      <c r="B15" s="8"/>
      <c r="C15" s="8"/>
      <c r="D15" s="9"/>
      <c r="E15" s="9"/>
      <c r="F15" s="9"/>
      <c r="G15" s="121"/>
      <c r="H15" s="10"/>
      <c r="I15" s="10"/>
      <c r="K15" s="18"/>
    </row>
    <row r="16" spans="1:11" ht="12.75">
      <c r="A16" s="23"/>
      <c r="B16" s="24" t="s">
        <v>83</v>
      </c>
      <c r="C16" s="26"/>
      <c r="D16" s="26"/>
      <c r="E16" s="9"/>
      <c r="F16" s="9"/>
      <c r="G16" s="121">
        <f>'[2]M-GER95A.XLS'!$X$10</f>
        <v>42667.147847555</v>
      </c>
      <c r="H16" s="10"/>
      <c r="I16" s="10">
        <f>39551</f>
        <v>39551</v>
      </c>
      <c r="K16" s="172"/>
    </row>
    <row r="17" spans="1:11" ht="12.75">
      <c r="A17" s="23"/>
      <c r="B17" s="24" t="s">
        <v>84</v>
      </c>
      <c r="C17" s="25"/>
      <c r="D17" s="26"/>
      <c r="E17" s="9"/>
      <c r="F17" s="9"/>
      <c r="G17" s="121">
        <f>'[2]M-GER95A.XLS'!$X$32</f>
        <v>104005.6684</v>
      </c>
      <c r="H17" s="10"/>
      <c r="I17" s="10">
        <f>102745</f>
        <v>102745</v>
      </c>
      <c r="K17" s="172"/>
    </row>
    <row r="18" spans="1:11" ht="12.75">
      <c r="A18" s="23"/>
      <c r="B18" s="24" t="s">
        <v>85</v>
      </c>
      <c r="C18" s="25"/>
      <c r="D18" s="26"/>
      <c r="E18" s="9"/>
      <c r="F18" s="9"/>
      <c r="G18" s="121">
        <f>'[2]M-GER95A.XLS'!$X$30</f>
        <v>37576</v>
      </c>
      <c r="H18" s="10"/>
      <c r="I18" s="10">
        <v>37576</v>
      </c>
      <c r="K18" s="172"/>
    </row>
    <row r="19" spans="1:11" ht="12.75">
      <c r="A19" s="23"/>
      <c r="B19" s="24" t="s">
        <v>127</v>
      </c>
      <c r="C19" s="25"/>
      <c r="D19" s="26"/>
      <c r="E19" s="9"/>
      <c r="F19" s="9"/>
      <c r="G19" s="121">
        <f>'[2]M-GER95A.XLS'!$X$23+'[2]M-GER95A.XLS'!$X$48</f>
        <v>64480</v>
      </c>
      <c r="H19" s="10"/>
      <c r="I19" s="10">
        <f>50419</f>
        <v>50419</v>
      </c>
      <c r="K19" s="19"/>
    </row>
    <row r="20" spans="1:11" ht="12.75">
      <c r="A20" s="23"/>
      <c r="B20" s="24" t="s">
        <v>128</v>
      </c>
      <c r="C20" s="25"/>
      <c r="D20" s="26"/>
      <c r="E20" s="9"/>
      <c r="F20" s="9"/>
      <c r="G20" s="121">
        <f>'[2]M-GER95A.XLS'!$X$24</f>
        <v>35625</v>
      </c>
      <c r="H20" s="10"/>
      <c r="I20" s="10">
        <f>41585</f>
        <v>41585</v>
      </c>
      <c r="K20" s="172"/>
    </row>
    <row r="21" spans="1:11" ht="12.75">
      <c r="A21" s="23"/>
      <c r="B21" s="23" t="s">
        <v>101</v>
      </c>
      <c r="C21" s="26"/>
      <c r="D21" s="26"/>
      <c r="E21" s="9"/>
      <c r="F21" s="9"/>
      <c r="G21" s="121">
        <f>'[2]M-GER95A.XLS'!$X$16-'[2]ASSC.XLS'!$N$132*0-'[2]M-GER95A.XLS'!$X$80*0</f>
        <v>45968.11332743661</v>
      </c>
      <c r="H21" s="10"/>
      <c r="I21" s="10">
        <f>41728</f>
        <v>41728</v>
      </c>
      <c r="K21" s="172"/>
    </row>
    <row r="22" spans="1:11" ht="12.75">
      <c r="A22" s="23"/>
      <c r="B22" s="24" t="s">
        <v>198</v>
      </c>
      <c r="C22" s="26"/>
      <c r="D22" s="26"/>
      <c r="E22" s="9"/>
      <c r="F22" s="9"/>
      <c r="G22" s="121">
        <f>'[2]M-GER95A.XLS'!$X$20</f>
        <v>40696.023786000005</v>
      </c>
      <c r="H22" s="10"/>
      <c r="I22" s="104">
        <f>40498</f>
        <v>40498</v>
      </c>
      <c r="K22" s="19"/>
    </row>
    <row r="23" spans="1:11" ht="12.75">
      <c r="A23" s="23"/>
      <c r="B23" s="24" t="s">
        <v>86</v>
      </c>
      <c r="C23" s="25"/>
      <c r="D23" s="26"/>
      <c r="E23" s="9"/>
      <c r="F23" s="9"/>
      <c r="G23" s="121">
        <f>'[2]M-GER95A.XLS'!$X$28+'[2]M-GER95A.XLS'!$X$90+'[2]M-GER95A.XLS'!$X$35</f>
        <v>17171.21775</v>
      </c>
      <c r="H23" s="10"/>
      <c r="I23" s="10">
        <f>17986</f>
        <v>17986</v>
      </c>
      <c r="K23" s="172"/>
    </row>
    <row r="24" spans="1:11" ht="12.75">
      <c r="A24" s="23"/>
      <c r="B24" s="24" t="s">
        <v>87</v>
      </c>
      <c r="C24" s="25"/>
      <c r="D24" s="26"/>
      <c r="E24" s="9"/>
      <c r="F24" s="9"/>
      <c r="G24" s="121">
        <f>'[2]M-GER95A.XLS'!$X$37</f>
        <v>3674.3228</v>
      </c>
      <c r="H24" s="10"/>
      <c r="I24" s="10">
        <f>3674</f>
        <v>3674</v>
      </c>
      <c r="K24" s="172"/>
    </row>
    <row r="25" spans="1:11" ht="12.75">
      <c r="A25" s="84" t="s">
        <v>152</v>
      </c>
      <c r="B25" s="26"/>
      <c r="C25" s="25"/>
      <c r="D25" s="26"/>
      <c r="E25" s="9"/>
      <c r="F25" s="9"/>
      <c r="G25" s="112">
        <f>SUM(G16:G24)</f>
        <v>391863.4939109916</v>
      </c>
      <c r="H25" s="10"/>
      <c r="I25" s="13">
        <f>SUM(I16:I24)</f>
        <v>375762</v>
      </c>
      <c r="K25" s="11"/>
    </row>
    <row r="26" spans="1:11" ht="12.75">
      <c r="A26" s="23"/>
      <c r="B26" s="26"/>
      <c r="C26" s="25"/>
      <c r="D26" s="26"/>
      <c r="E26" s="9"/>
      <c r="F26" s="9"/>
      <c r="G26" s="121"/>
      <c r="H26" s="10"/>
      <c r="I26" s="10"/>
      <c r="K26" s="172"/>
    </row>
    <row r="27" spans="1:11" ht="12.75">
      <c r="A27" s="39" t="s">
        <v>142</v>
      </c>
      <c r="B27" s="40"/>
      <c r="C27" s="39"/>
      <c r="D27" s="9"/>
      <c r="E27" s="9"/>
      <c r="F27" s="9"/>
      <c r="G27" s="121"/>
      <c r="H27" s="10"/>
      <c r="I27" s="10"/>
      <c r="K27" s="172"/>
    </row>
    <row r="28" spans="1:11" ht="12.75">
      <c r="A28" s="39"/>
      <c r="B28" s="26" t="s">
        <v>93</v>
      </c>
      <c r="C28" s="39"/>
      <c r="D28" s="9"/>
      <c r="E28" s="9"/>
      <c r="F28" s="9"/>
      <c r="G28" s="121">
        <f>'[2]M-GER95A.XLS'!$X$45-1</f>
        <v>5155.69224</v>
      </c>
      <c r="H28" s="10"/>
      <c r="I28" s="10">
        <f>5073</f>
        <v>5073</v>
      </c>
      <c r="K28" s="172"/>
    </row>
    <row r="29" spans="1:11" ht="12.75">
      <c r="A29" s="39"/>
      <c r="B29" s="23" t="s">
        <v>7</v>
      </c>
      <c r="C29" s="23"/>
      <c r="D29" s="9"/>
      <c r="E29" s="9"/>
      <c r="F29" s="9"/>
      <c r="G29" s="88">
        <f>'[2]M-GER95A.XLS'!$X$63</f>
        <v>17266.34077632719</v>
      </c>
      <c r="H29" s="11"/>
      <c r="I29" s="11">
        <f>18849</f>
        <v>18849</v>
      </c>
      <c r="K29" s="172"/>
    </row>
    <row r="30" spans="1:11" ht="12.75">
      <c r="A30" s="39"/>
      <c r="B30" s="23" t="s">
        <v>70</v>
      </c>
      <c r="C30" s="24"/>
      <c r="D30" s="9"/>
      <c r="E30" s="9"/>
      <c r="F30" s="9"/>
      <c r="G30" s="88">
        <f>'[2]M-GER95A.XLS'!$X$40</f>
        <v>318874.59462161997</v>
      </c>
      <c r="H30" s="11"/>
      <c r="I30" s="11">
        <f>179056</f>
        <v>179056</v>
      </c>
      <c r="K30" s="172"/>
    </row>
    <row r="31" spans="1:11" ht="12.75">
      <c r="A31" s="39"/>
      <c r="B31" s="24" t="s">
        <v>112</v>
      </c>
      <c r="C31" s="24"/>
      <c r="D31" s="9"/>
      <c r="E31" s="9"/>
      <c r="F31" s="9"/>
      <c r="G31" s="152">
        <f>'[2]M-GER95A.XLS'!$X$47-'[2]M-GER95A.XLS'!$X$80</f>
        <v>20647.0131825</v>
      </c>
      <c r="H31" s="11"/>
      <c r="I31" s="19">
        <f>17484</f>
        <v>17484</v>
      </c>
      <c r="K31" s="172"/>
    </row>
    <row r="32" spans="1:11" ht="12.75">
      <c r="A32" s="39"/>
      <c r="B32" s="24" t="s">
        <v>71</v>
      </c>
      <c r="C32" s="24"/>
      <c r="D32" s="9"/>
      <c r="E32" s="9"/>
      <c r="F32" s="9"/>
      <c r="G32" s="88">
        <f>'[2]M-GER95A.XLS'!$X$42+1</f>
        <v>26789.845607814965</v>
      </c>
      <c r="H32" s="11"/>
      <c r="I32" s="11">
        <f>32436</f>
        <v>32436</v>
      </c>
      <c r="K32" s="172"/>
    </row>
    <row r="33" spans="1:11" ht="12.75" hidden="1">
      <c r="A33" s="39"/>
      <c r="B33" s="26" t="s">
        <v>221</v>
      </c>
      <c r="C33" s="24"/>
      <c r="D33" s="9"/>
      <c r="E33" s="9"/>
      <c r="F33" s="9"/>
      <c r="G33" s="88">
        <f>'[5]M-GER95A.XLS'!$X$49</f>
        <v>0</v>
      </c>
      <c r="H33" s="11"/>
      <c r="I33" s="11">
        <v>0</v>
      </c>
      <c r="K33" s="172"/>
    </row>
    <row r="34" spans="1:11" ht="12.75">
      <c r="A34" s="39"/>
      <c r="B34" s="24" t="s">
        <v>128</v>
      </c>
      <c r="C34" s="24"/>
      <c r="D34" s="9"/>
      <c r="E34" s="9"/>
      <c r="F34" s="9"/>
      <c r="G34" s="88">
        <f>'[2]M-GER95A.XLS'!$X$50</f>
        <v>5686.5204</v>
      </c>
      <c r="H34" s="11"/>
      <c r="I34" s="11">
        <f>13709</f>
        <v>13709</v>
      </c>
      <c r="K34" s="172"/>
    </row>
    <row r="35" spans="1:11" ht="12.75">
      <c r="A35" s="39"/>
      <c r="B35" s="24" t="s">
        <v>129</v>
      </c>
      <c r="C35" s="24"/>
      <c r="D35" s="9"/>
      <c r="E35" s="9"/>
      <c r="F35" s="9"/>
      <c r="G35" s="88">
        <f>'[2]M-GER95A.XLS'!$X$51+'[2]M-GER95A.XLS'!$X$25</f>
        <v>139974.72087000002</v>
      </c>
      <c r="H35" s="11"/>
      <c r="I35" s="11">
        <f>98379</f>
        <v>98379</v>
      </c>
      <c r="K35" s="172"/>
    </row>
    <row r="36" spans="1:11" ht="12.75">
      <c r="A36" s="39"/>
      <c r="B36" s="24" t="s">
        <v>55</v>
      </c>
      <c r="C36" s="24"/>
      <c r="D36" s="9"/>
      <c r="E36" s="9"/>
      <c r="F36" s="9"/>
      <c r="G36" s="88">
        <f>'[2]M-GER95A.XLS'!$X$46</f>
        <v>2079.59172</v>
      </c>
      <c r="H36" s="11"/>
      <c r="I36" s="11">
        <f>2478</f>
        <v>2478</v>
      </c>
      <c r="K36" s="172"/>
    </row>
    <row r="37" spans="1:11" ht="12.75">
      <c r="A37" s="39"/>
      <c r="B37" s="24" t="s">
        <v>11</v>
      </c>
      <c r="C37" s="24"/>
      <c r="D37" s="9"/>
      <c r="E37" s="9"/>
      <c r="F37" s="9"/>
      <c r="G37" s="88"/>
      <c r="H37" s="11"/>
      <c r="I37" s="11"/>
      <c r="K37" s="172"/>
    </row>
    <row r="38" spans="1:11" ht="12.75">
      <c r="A38" s="39"/>
      <c r="B38" s="23" t="s">
        <v>12</v>
      </c>
      <c r="C38" s="24"/>
      <c r="D38" s="9"/>
      <c r="E38" s="9"/>
      <c r="F38" s="9"/>
      <c r="G38" s="88">
        <f>'[2]M-GER95A.XLS'!$X$64+'[2]M-GER95A.XLS'!$X$65</f>
        <v>333635.884899612</v>
      </c>
      <c r="H38" s="11"/>
      <c r="I38" s="11">
        <f>442304</f>
        <v>442304</v>
      </c>
      <c r="K38" s="172"/>
    </row>
    <row r="39" spans="1:11" ht="12.75">
      <c r="A39" s="39"/>
      <c r="B39" s="24" t="s">
        <v>13</v>
      </c>
      <c r="C39" s="24"/>
      <c r="D39" s="9"/>
      <c r="E39" s="9"/>
      <c r="F39" s="9"/>
      <c r="G39" s="88">
        <f>'[2]M-GER95A.XLS'!$X$66</f>
        <v>71665.72603888501</v>
      </c>
      <c r="H39" s="11"/>
      <c r="I39" s="11">
        <f>56410</f>
        <v>56410</v>
      </c>
      <c r="K39" s="172"/>
    </row>
    <row r="40" spans="1:11" ht="12.75">
      <c r="A40" s="39"/>
      <c r="B40" s="40"/>
      <c r="C40" s="25"/>
      <c r="D40" s="9"/>
      <c r="E40" s="9"/>
      <c r="F40" s="9"/>
      <c r="G40" s="157">
        <f>SUM(G28:G39)+2</f>
        <v>941777.9303567591</v>
      </c>
      <c r="I40" s="156">
        <f>SUM(I28:I39)</f>
        <v>866178</v>
      </c>
      <c r="K40" s="11"/>
    </row>
    <row r="41" spans="1:11" ht="12.75">
      <c r="A41" s="39"/>
      <c r="B41" s="26" t="s">
        <v>143</v>
      </c>
      <c r="C41" s="25"/>
      <c r="D41" s="9"/>
      <c r="E41" s="9"/>
      <c r="F41" s="9"/>
      <c r="G41" s="88">
        <f>'[2]M-GER95A.XLS'!$X$67</f>
        <v>7993</v>
      </c>
      <c r="I41" s="11">
        <f>7993</f>
        <v>7993</v>
      </c>
      <c r="K41" s="19"/>
    </row>
    <row r="42" spans="1:11" ht="12.75">
      <c r="A42" s="39"/>
      <c r="B42" s="40"/>
      <c r="C42" s="25"/>
      <c r="D42" s="9"/>
      <c r="E42" s="9"/>
      <c r="F42" s="9"/>
      <c r="G42" s="112">
        <f>G41+G40</f>
        <v>949770.9303567591</v>
      </c>
      <c r="I42" s="13">
        <f>I41+I40</f>
        <v>874171</v>
      </c>
      <c r="K42" s="11"/>
    </row>
    <row r="43" spans="1:11" ht="12.75">
      <c r="A43" s="39"/>
      <c r="B43" s="40"/>
      <c r="C43" s="25"/>
      <c r="D43" s="9"/>
      <c r="E43" s="9"/>
      <c r="F43" s="9"/>
      <c r="G43" s="88"/>
      <c r="I43" s="11"/>
      <c r="K43" s="172"/>
    </row>
    <row r="44" spans="1:11" ht="13.5" thickBot="1">
      <c r="A44" s="39" t="s">
        <v>59</v>
      </c>
      <c r="B44" s="40"/>
      <c r="C44" s="25"/>
      <c r="D44" s="9"/>
      <c r="E44" s="9"/>
      <c r="F44" s="9"/>
      <c r="G44" s="113">
        <f>G42+G25</f>
        <v>1341634.4242677507</v>
      </c>
      <c r="I44" s="82">
        <f>I42+I25</f>
        <v>1249933</v>
      </c>
      <c r="K44" s="11"/>
    </row>
    <row r="45" spans="1:11" ht="13.5" thickTop="1">
      <c r="A45" s="39"/>
      <c r="B45" s="40"/>
      <c r="C45" s="25"/>
      <c r="D45" s="9"/>
      <c r="E45" s="9"/>
      <c r="F45" s="9"/>
      <c r="G45" s="88"/>
      <c r="I45" s="11"/>
      <c r="K45" s="172"/>
    </row>
    <row r="46" spans="1:11" ht="12.75">
      <c r="A46" s="39"/>
      <c r="B46" s="40"/>
      <c r="C46" s="25"/>
      <c r="D46" s="9"/>
      <c r="E46" s="9"/>
      <c r="F46" s="9"/>
      <c r="G46" s="88"/>
      <c r="I46" s="11"/>
      <c r="K46" s="172"/>
    </row>
    <row r="47" spans="1:11" ht="12.75">
      <c r="A47" s="39" t="s">
        <v>60</v>
      </c>
      <c r="B47" s="40"/>
      <c r="C47" s="25"/>
      <c r="D47" s="9"/>
      <c r="E47" s="9"/>
      <c r="F47" s="9"/>
      <c r="G47" s="88"/>
      <c r="H47" s="11"/>
      <c r="I47" s="11"/>
      <c r="K47" s="172"/>
    </row>
    <row r="48" spans="1:11" ht="12.75">
      <c r="A48" s="41" t="s">
        <v>153</v>
      </c>
      <c r="B48" s="40"/>
      <c r="C48" s="25"/>
      <c r="D48" s="9"/>
      <c r="E48" s="9"/>
      <c r="F48" s="9"/>
      <c r="G48" s="88"/>
      <c r="H48" s="11"/>
      <c r="I48" s="11"/>
      <c r="K48" s="172"/>
    </row>
    <row r="49" spans="1:11" ht="12.75">
      <c r="A49" s="23"/>
      <c r="B49" s="24" t="s">
        <v>88</v>
      </c>
      <c r="C49" s="40"/>
      <c r="D49" s="9"/>
      <c r="E49" s="9"/>
      <c r="F49" s="9"/>
      <c r="G49" s="121">
        <f>'[2]M-GER95A.XLS'!$X$95</f>
        <v>693334.4933726199</v>
      </c>
      <c r="I49" s="10">
        <v>693334</v>
      </c>
      <c r="K49" s="172"/>
    </row>
    <row r="50" spans="1:11" ht="12.75">
      <c r="A50" s="23"/>
      <c r="B50" s="24" t="s">
        <v>115</v>
      </c>
      <c r="C50" s="40"/>
      <c r="D50" s="9"/>
      <c r="E50" s="9"/>
      <c r="F50" s="9"/>
      <c r="G50" s="161">
        <f>'[2]M-GER95A.XLS'!$X$103</f>
        <v>-6840</v>
      </c>
      <c r="I50" s="154">
        <f>-4887</f>
        <v>-4887</v>
      </c>
      <c r="K50" s="172"/>
    </row>
    <row r="51" spans="1:11" ht="12.75">
      <c r="A51" s="23"/>
      <c r="B51" s="24" t="s">
        <v>89</v>
      </c>
      <c r="C51" s="40"/>
      <c r="D51" s="9"/>
      <c r="E51" s="9"/>
      <c r="F51" s="9"/>
      <c r="G51" s="121">
        <f>'[2]M-GER95A.XLS'!$X$99+'[2]M-GER95A.XLS'!$X$102+'[2]M-GER95A.XLS'!$X$104+1+'[2]M-GER95A.XLS'!$X$98+1</f>
        <v>78756.46970455468</v>
      </c>
      <c r="I51" s="10">
        <f>69051</f>
        <v>69051</v>
      </c>
      <c r="K51" s="172"/>
    </row>
    <row r="52" spans="1:11" ht="12.75">
      <c r="A52" s="23"/>
      <c r="B52" s="24" t="s">
        <v>162</v>
      </c>
      <c r="C52" s="4"/>
      <c r="D52" s="9"/>
      <c r="E52" s="9"/>
      <c r="F52" s="9"/>
      <c r="G52" s="114">
        <f>'[2]M-GER95A.XLS'!$X$119</f>
        <v>177205.7457647508</v>
      </c>
      <c r="I52" s="80">
        <f>176141</f>
        <v>176141</v>
      </c>
      <c r="J52" s="1"/>
      <c r="K52" s="172"/>
    </row>
    <row r="53" spans="1:11" ht="12.75">
      <c r="A53" s="23"/>
      <c r="B53" s="26"/>
      <c r="C53" s="40"/>
      <c r="D53" s="9"/>
      <c r="E53" s="9"/>
      <c r="F53" s="9"/>
      <c r="G53" s="115">
        <f>SUM(G49:G52)-1</f>
        <v>942455.7088419253</v>
      </c>
      <c r="I53" s="43">
        <f>SUM(I49:I52)</f>
        <v>933639</v>
      </c>
      <c r="K53" s="44"/>
    </row>
    <row r="54" spans="1:11" ht="12.75">
      <c r="A54" s="83" t="s">
        <v>116</v>
      </c>
      <c r="B54" s="26"/>
      <c r="C54" s="40"/>
      <c r="D54" s="9"/>
      <c r="E54" s="9"/>
      <c r="F54" s="9"/>
      <c r="G54" s="121">
        <f>'[2]M-GER95A.XLS'!$X$121-'[2]M-GER95A.XLS'!$X$62</f>
        <v>7975.802165465428</v>
      </c>
      <c r="I54" s="10">
        <f>7784</f>
        <v>7784</v>
      </c>
      <c r="J54" s="1"/>
      <c r="K54" s="172"/>
    </row>
    <row r="55" spans="1:11" ht="12.75">
      <c r="A55" s="56" t="s">
        <v>144</v>
      </c>
      <c r="B55" s="26"/>
      <c r="C55" s="40"/>
      <c r="D55" s="9"/>
      <c r="E55" s="9"/>
      <c r="F55" s="9"/>
      <c r="G55" s="112">
        <f>G53+G54</f>
        <v>950431.5110073907</v>
      </c>
      <c r="I55" s="13">
        <f>I53+I54</f>
        <v>941423</v>
      </c>
      <c r="K55" s="11"/>
    </row>
    <row r="56" spans="1:11" ht="12.75">
      <c r="A56" s="84"/>
      <c r="B56" s="26"/>
      <c r="C56" s="40"/>
      <c r="D56" s="9"/>
      <c r="E56" s="9"/>
      <c r="F56" s="9"/>
      <c r="G56" s="88"/>
      <c r="I56" s="11"/>
      <c r="K56" s="172"/>
    </row>
    <row r="57" spans="1:11" ht="12.75">
      <c r="A57" s="14" t="s">
        <v>145</v>
      </c>
      <c r="B57" s="26"/>
      <c r="C57" s="40"/>
      <c r="D57" s="9"/>
      <c r="E57" s="9"/>
      <c r="F57" s="9"/>
      <c r="G57" s="88"/>
      <c r="I57" s="11"/>
      <c r="K57" s="172"/>
    </row>
    <row r="58" spans="1:11" ht="12.75">
      <c r="A58" s="83"/>
      <c r="B58" s="83" t="s">
        <v>105</v>
      </c>
      <c r="C58" s="26"/>
      <c r="D58" s="26"/>
      <c r="E58" s="26"/>
      <c r="F58" s="26"/>
      <c r="G58" s="116">
        <f>'[2]M-GER95A.XLS'!$X$131</f>
        <v>10145.9666</v>
      </c>
      <c r="H58" s="26"/>
      <c r="I58" s="158">
        <f>9640</f>
        <v>9640</v>
      </c>
      <c r="K58" s="172"/>
    </row>
    <row r="59" spans="1:11" ht="12.75">
      <c r="A59" s="83"/>
      <c r="B59" s="96" t="s">
        <v>90</v>
      </c>
      <c r="C59" s="40"/>
      <c r="D59" s="9"/>
      <c r="E59" s="9"/>
      <c r="F59" s="9"/>
      <c r="G59" s="121">
        <f>'[2]M-GER95A.XLS'!$X$128</f>
        <v>8272.845323861999</v>
      </c>
      <c r="I59" s="154">
        <f>8273</f>
        <v>8273</v>
      </c>
      <c r="K59" s="172"/>
    </row>
    <row r="60" spans="1:11" ht="12.75">
      <c r="A60" s="40"/>
      <c r="B60" s="40"/>
      <c r="C60" s="40"/>
      <c r="D60" s="9"/>
      <c r="E60" s="9"/>
      <c r="F60" s="9"/>
      <c r="G60" s="112">
        <f>G59+G58</f>
        <v>18418.811923862</v>
      </c>
      <c r="I60" s="155">
        <f>SUM(I58:I59)</f>
        <v>17913</v>
      </c>
      <c r="K60" s="173"/>
    </row>
    <row r="61" spans="7:11" ht="12.75">
      <c r="G61" s="120"/>
      <c r="K61" s="172"/>
    </row>
    <row r="62" spans="1:11" ht="12.75">
      <c r="A62" s="39" t="s">
        <v>146</v>
      </c>
      <c r="B62" s="40"/>
      <c r="C62" s="25"/>
      <c r="D62" s="9"/>
      <c r="E62" s="9"/>
      <c r="F62" s="9"/>
      <c r="G62" s="88"/>
      <c r="H62" s="11"/>
      <c r="I62" s="11"/>
      <c r="K62" s="172"/>
    </row>
    <row r="63" spans="1:11" ht="12.75">
      <c r="A63" s="39"/>
      <c r="B63" s="26" t="s">
        <v>161</v>
      </c>
      <c r="C63" s="25"/>
      <c r="D63" s="9"/>
      <c r="E63" s="9"/>
      <c r="F63" s="9"/>
      <c r="G63" s="88">
        <f>'[2]M-GER95A.XLS'!$X$74</f>
        <v>3887.1224</v>
      </c>
      <c r="H63" s="11"/>
      <c r="I63" s="11">
        <f>8023</f>
        <v>8023</v>
      </c>
      <c r="K63" s="172"/>
    </row>
    <row r="64" spans="1:11" ht="12.75">
      <c r="A64" s="39"/>
      <c r="B64" s="23" t="s">
        <v>72</v>
      </c>
      <c r="C64" s="24"/>
      <c r="D64" s="9"/>
      <c r="E64" s="9"/>
      <c r="F64" s="9"/>
      <c r="G64" s="88">
        <f>'[2]M-GER95A.XLS'!$X$71</f>
        <v>107889.445731395</v>
      </c>
      <c r="H64" s="11"/>
      <c r="I64" s="11">
        <f>179018</f>
        <v>179018</v>
      </c>
      <c r="K64" s="172"/>
    </row>
    <row r="65" spans="1:11" ht="12.75">
      <c r="A65" s="39"/>
      <c r="B65" s="24" t="s">
        <v>73</v>
      </c>
      <c r="C65" s="24"/>
      <c r="D65" s="9"/>
      <c r="E65" s="9"/>
      <c r="F65" s="9"/>
      <c r="G65" s="122">
        <f>'[2]M-GER95A.XLS'!$X$73+'[2]M-GER95A.XLS'!$X$75+3+'[2]M-GER95A.XLS'!$X$72+'[2]M-GER95A.XLS'!$X$83-4</f>
        <v>96824.775566969</v>
      </c>
      <c r="H65" s="11"/>
      <c r="I65" s="11">
        <f>51625</f>
        <v>51625</v>
      </c>
      <c r="K65" s="172"/>
    </row>
    <row r="66" spans="1:11" ht="12.75">
      <c r="A66" s="39"/>
      <c r="B66" s="24" t="s">
        <v>14</v>
      </c>
      <c r="C66" s="24"/>
      <c r="D66" s="9"/>
      <c r="E66" s="9"/>
      <c r="F66" s="9"/>
      <c r="G66" s="88">
        <f>'[2]M-GER95A.XLS'!$X$82+'[2]M-GER95A.XLS'!$X$84</f>
        <v>162691.179</v>
      </c>
      <c r="H66" s="11"/>
      <c r="I66" s="11">
        <f>51459</f>
        <v>51459</v>
      </c>
      <c r="K66" s="172"/>
    </row>
    <row r="67" spans="1:11" ht="12.75">
      <c r="A67" s="39"/>
      <c r="B67" s="23" t="s">
        <v>102</v>
      </c>
      <c r="C67" s="25"/>
      <c r="D67" s="9"/>
      <c r="E67" s="9"/>
      <c r="F67" s="9"/>
      <c r="G67" s="88">
        <f>'[2]M-GER95A.XLS'!$X$79</f>
        <v>1491.476043682</v>
      </c>
      <c r="H67" s="11"/>
      <c r="I67" s="11">
        <f>472</f>
        <v>472</v>
      </c>
      <c r="K67" s="172"/>
    </row>
    <row r="68" spans="1:11" ht="12.75">
      <c r="A68" s="39"/>
      <c r="B68" s="40"/>
      <c r="C68" s="35"/>
      <c r="D68" s="9"/>
      <c r="E68" s="9"/>
      <c r="F68" s="9"/>
      <c r="G68" s="112">
        <f>SUM(G63:G67)-1</f>
        <v>372782.998742046</v>
      </c>
      <c r="I68" s="13">
        <f>SUM(I63:I67)</f>
        <v>290597</v>
      </c>
      <c r="K68" s="11"/>
    </row>
    <row r="69" spans="1:11" ht="12.75">
      <c r="A69" s="39"/>
      <c r="B69" s="40"/>
      <c r="C69" s="35"/>
      <c r="D69" s="9"/>
      <c r="E69" s="9"/>
      <c r="F69" s="9"/>
      <c r="G69" s="88"/>
      <c r="I69" s="11"/>
      <c r="K69" s="11"/>
    </row>
    <row r="70" spans="1:11" ht="12.75">
      <c r="A70" s="41" t="s">
        <v>61</v>
      </c>
      <c r="B70" s="40"/>
      <c r="C70" s="35"/>
      <c r="D70" s="9"/>
      <c r="E70" s="9"/>
      <c r="F70" s="9"/>
      <c r="G70" s="88">
        <f>G68+G60</f>
        <v>391201.81066590804</v>
      </c>
      <c r="I70" s="11">
        <f>I68+I60</f>
        <v>308510</v>
      </c>
      <c r="K70" s="11"/>
    </row>
    <row r="71" spans="2:11" ht="12.75">
      <c r="B71" s="40"/>
      <c r="C71" s="40"/>
      <c r="D71" s="9"/>
      <c r="E71" s="9"/>
      <c r="F71" s="9"/>
      <c r="G71" s="123"/>
      <c r="I71" s="10"/>
      <c r="K71" s="11"/>
    </row>
    <row r="72" spans="1:11" ht="13.5" thickBot="1">
      <c r="A72" s="41" t="s">
        <v>62</v>
      </c>
      <c r="B72" s="40"/>
      <c r="C72" s="40"/>
      <c r="D72" s="9"/>
      <c r="E72" s="9"/>
      <c r="F72" s="9"/>
      <c r="G72" s="124">
        <f>G70+G55+1</f>
        <v>1341634.3216732987</v>
      </c>
      <c r="I72" s="12">
        <f>I70+I55</f>
        <v>1249933</v>
      </c>
      <c r="K72" s="11"/>
    </row>
    <row r="73" spans="1:11" ht="13.5" thickTop="1">
      <c r="A73" s="3"/>
      <c r="C73" s="9"/>
      <c r="D73" s="9"/>
      <c r="E73" s="9"/>
      <c r="F73" s="9"/>
      <c r="G73" s="125">
        <f>G72-G44</f>
        <v>-0.10259445197880268</v>
      </c>
      <c r="I73" s="19"/>
      <c r="K73" s="18"/>
    </row>
    <row r="74" spans="1:11" ht="12.75">
      <c r="A74" s="3"/>
      <c r="C74" s="9"/>
      <c r="D74" s="9"/>
      <c r="E74" s="9"/>
      <c r="F74" s="9"/>
      <c r="G74" s="125"/>
      <c r="I74" s="19"/>
      <c r="K74" s="18"/>
    </row>
    <row r="75" spans="1:11" ht="12.75">
      <c r="A75" s="56" t="s">
        <v>117</v>
      </c>
      <c r="C75" s="9"/>
      <c r="D75" s="9"/>
      <c r="E75" s="9"/>
      <c r="F75" s="9"/>
      <c r="G75" s="125"/>
      <c r="I75" s="19"/>
      <c r="K75" s="18"/>
    </row>
    <row r="76" spans="1:11" ht="12.75">
      <c r="A76" s="56" t="s">
        <v>154</v>
      </c>
      <c r="C76" s="9"/>
      <c r="D76" s="9"/>
      <c r="E76" s="9"/>
      <c r="F76" s="21"/>
      <c r="G76" s="126">
        <f>(G53)/'[4]Dec2011'!$C$38</f>
        <v>1.384067193797178</v>
      </c>
      <c r="H76" s="19"/>
      <c r="I76" s="68">
        <f>I53/'[1]Sept10'!$C$38</f>
        <v>1.3658336313143007</v>
      </c>
      <c r="J76" s="46"/>
      <c r="K76" s="174"/>
    </row>
    <row r="77" spans="1:9" ht="12.75">
      <c r="A77" s="56"/>
      <c r="C77" s="9"/>
      <c r="D77" s="9"/>
      <c r="E77" s="9"/>
      <c r="F77" s="21"/>
      <c r="G77" s="68"/>
      <c r="H77" s="19"/>
      <c r="I77" s="68"/>
    </row>
    <row r="78" spans="1:9" ht="12.75">
      <c r="A78" s="56"/>
      <c r="C78" s="9"/>
      <c r="D78" s="9"/>
      <c r="E78" s="9"/>
      <c r="F78" s="21"/>
      <c r="G78" s="68"/>
      <c r="H78" s="19"/>
      <c r="I78" s="68"/>
    </row>
    <row r="79" spans="1:11" ht="12.75">
      <c r="A79" s="183" t="s">
        <v>199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</row>
    <row r="80" spans="1:11" ht="12.75">
      <c r="A80" s="178" t="s">
        <v>163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0" ht="12.75">
      <c r="A81" s="90" t="s">
        <v>123</v>
      </c>
      <c r="B81" s="106"/>
      <c r="C81" s="106"/>
      <c r="D81" s="106"/>
      <c r="E81" s="106"/>
      <c r="F81" s="106"/>
      <c r="G81" s="106"/>
      <c r="H81" s="106"/>
      <c r="I81" s="106"/>
      <c r="J81" s="106"/>
    </row>
    <row r="83" spans="1:11" ht="12.75">
      <c r="A83" s="179" t="s">
        <v>155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09"/>
    </row>
    <row r="84" spans="1:11" ht="12.75">
      <c r="A84" s="180" t="s">
        <v>147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10"/>
    </row>
    <row r="88" spans="1:9" ht="12.75">
      <c r="A88" s="39"/>
      <c r="B88" s="40"/>
      <c r="C88" s="39"/>
      <c r="D88" s="9"/>
      <c r="E88" s="9"/>
      <c r="F88" s="9"/>
      <c r="G88" s="10"/>
      <c r="I88" s="10"/>
    </row>
    <row r="89" spans="1:9" ht="12.75">
      <c r="A89" s="85"/>
      <c r="B89" s="86"/>
      <c r="C89" s="86"/>
      <c r="D89" s="87"/>
      <c r="E89" s="87"/>
      <c r="F89" s="87"/>
      <c r="G89" s="88"/>
      <c r="H89" s="89"/>
      <c r="I89" s="88"/>
    </row>
    <row r="90" spans="1:9" ht="12.75">
      <c r="A90" s="85"/>
      <c r="B90" s="86"/>
      <c r="C90" s="85"/>
      <c r="D90" s="87"/>
      <c r="E90" s="87"/>
      <c r="F90" s="87"/>
      <c r="G90" s="88"/>
      <c r="H90" s="89"/>
      <c r="I90" s="88"/>
    </row>
  </sheetData>
  <mergeCells count="7">
    <mergeCell ref="A80:K80"/>
    <mergeCell ref="A83:J83"/>
    <mergeCell ref="A84:J84"/>
    <mergeCell ref="A1:I1"/>
    <mergeCell ref="A2:I2"/>
    <mergeCell ref="A3:I3"/>
    <mergeCell ref="A79:K79"/>
  </mergeCells>
  <printOptions/>
  <pageMargins left="1" right="0" top="0.1" bottom="0" header="0.26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9"/>
  <sheetViews>
    <sheetView zoomScale="80" zoomScaleNormal="80" workbookViewId="0" topLeftCell="A18">
      <selection activeCell="J57" sqref="J57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.7109375" style="0" customWidth="1"/>
    <col min="4" max="5" width="11.7109375" style="0" customWidth="1"/>
    <col min="6" max="6" width="20.7109375" style="0" customWidth="1"/>
    <col min="7" max="9" width="11.7109375" style="0" customWidth="1"/>
    <col min="10" max="10" width="13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85" t="s">
        <v>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11"/>
      <c r="M1" s="111"/>
    </row>
    <row r="2" spans="1:13" ht="12.75">
      <c r="A2" s="186" t="s">
        <v>65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07"/>
      <c r="M2" s="107"/>
    </row>
    <row r="3" spans="1:13" ht="12.75">
      <c r="A3" s="186" t="s">
        <v>66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07"/>
      <c r="M3" s="107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3" ht="13.5" thickBot="1">
      <c r="A5" s="55" t="s">
        <v>205</v>
      </c>
      <c r="B5" s="37"/>
      <c r="C5" s="37"/>
      <c r="D5" s="37"/>
      <c r="E5" s="37"/>
      <c r="F5" s="37"/>
      <c r="G5" s="37"/>
      <c r="H5" s="37"/>
      <c r="I5" s="37"/>
      <c r="J5" s="33"/>
      <c r="K5" s="20"/>
      <c r="L5" s="20"/>
      <c r="M5" s="20"/>
    </row>
    <row r="6" spans="1:10" ht="15.75">
      <c r="A6" s="30"/>
      <c r="B6" s="28"/>
      <c r="C6" s="25"/>
      <c r="D6" s="26"/>
      <c r="E6" s="26"/>
      <c r="F6" s="26"/>
      <c r="G6" s="26"/>
      <c r="H6" s="29"/>
      <c r="I6" s="29"/>
      <c r="J6" s="29"/>
    </row>
    <row r="7" spans="1:10" ht="15.75">
      <c r="A7" s="56" t="s">
        <v>215</v>
      </c>
      <c r="B7" s="28"/>
      <c r="C7" s="25"/>
      <c r="D7" s="26"/>
      <c r="E7" s="26"/>
      <c r="F7" s="26"/>
      <c r="G7" s="26"/>
      <c r="H7" s="29"/>
      <c r="I7" s="29"/>
      <c r="J7" s="29"/>
    </row>
    <row r="8" ht="12.75">
      <c r="A8" s="14"/>
    </row>
    <row r="9" spans="2:10" ht="12.75">
      <c r="B9" s="14"/>
      <c r="D9" s="14" t="s">
        <v>189</v>
      </c>
      <c r="E9" s="90"/>
      <c r="F9" s="90"/>
      <c r="G9" s="90"/>
      <c r="H9" s="90"/>
      <c r="I9" s="90"/>
      <c r="J9" s="90"/>
    </row>
    <row r="10" spans="2:10" ht="12.75">
      <c r="B10" s="14"/>
      <c r="D10" s="14"/>
      <c r="E10" s="90" t="s">
        <v>196</v>
      </c>
      <c r="F10" s="90"/>
      <c r="G10" s="90"/>
      <c r="H10" s="90"/>
      <c r="I10" s="90" t="s">
        <v>194</v>
      </c>
      <c r="J10" s="90"/>
    </row>
    <row r="11" spans="4:12" ht="12.75">
      <c r="D11" s="21"/>
      <c r="E11" s="21"/>
      <c r="F11" s="21" t="s">
        <v>132</v>
      </c>
      <c r="G11" s="21"/>
      <c r="H11" s="21" t="s">
        <v>29</v>
      </c>
      <c r="I11" s="21"/>
      <c r="L11" s="21" t="s">
        <v>119</v>
      </c>
    </row>
    <row r="12" spans="4:13" ht="12.75">
      <c r="D12" s="21" t="s">
        <v>26</v>
      </c>
      <c r="E12" s="21" t="s">
        <v>27</v>
      </c>
      <c r="F12" s="21" t="s">
        <v>133</v>
      </c>
      <c r="G12" s="21" t="s">
        <v>28</v>
      </c>
      <c r="H12" s="21" t="s">
        <v>77</v>
      </c>
      <c r="I12" s="21" t="s">
        <v>30</v>
      </c>
      <c r="J12" s="21" t="s">
        <v>121</v>
      </c>
      <c r="L12" s="21" t="s">
        <v>120</v>
      </c>
      <c r="M12" s="21" t="s">
        <v>63</v>
      </c>
    </row>
    <row r="13" spans="4:13" ht="12.75">
      <c r="D13" s="21" t="s">
        <v>74</v>
      </c>
      <c r="E13" s="21" t="s">
        <v>75</v>
      </c>
      <c r="F13" s="21" t="s">
        <v>136</v>
      </c>
      <c r="G13" s="21" t="s">
        <v>76</v>
      </c>
      <c r="H13" s="21" t="s">
        <v>78</v>
      </c>
      <c r="I13" s="21" t="s">
        <v>79</v>
      </c>
      <c r="J13" s="21" t="s">
        <v>188</v>
      </c>
      <c r="K13" s="21" t="s">
        <v>31</v>
      </c>
      <c r="L13" s="21" t="s">
        <v>80</v>
      </c>
      <c r="M13" s="21" t="s">
        <v>81</v>
      </c>
    </row>
    <row r="14" spans="4:13" ht="12.75">
      <c r="D14" s="21" t="s">
        <v>5</v>
      </c>
      <c r="E14" s="21" t="s">
        <v>5</v>
      </c>
      <c r="F14" s="21" t="s">
        <v>5</v>
      </c>
      <c r="G14" s="21" t="s">
        <v>5</v>
      </c>
      <c r="H14" s="21" t="s">
        <v>5</v>
      </c>
      <c r="I14" s="21" t="s">
        <v>5</v>
      </c>
      <c r="J14" s="21" t="s">
        <v>5</v>
      </c>
      <c r="K14" s="21" t="s">
        <v>5</v>
      </c>
      <c r="L14" s="21" t="s">
        <v>5</v>
      </c>
      <c r="M14" s="21" t="s">
        <v>5</v>
      </c>
    </row>
    <row r="15" spans="1:12" ht="12.75">
      <c r="A15" s="51"/>
      <c r="D15" s="21"/>
      <c r="E15" s="21"/>
      <c r="F15" s="21"/>
      <c r="G15" s="21"/>
      <c r="H15" s="21"/>
      <c r="I15" s="21"/>
      <c r="J15" s="21"/>
      <c r="K15" s="21"/>
      <c r="L15" s="21"/>
    </row>
    <row r="16" spans="1:14" ht="12.75">
      <c r="A16" s="127" t="s">
        <v>216</v>
      </c>
      <c r="B16" s="120"/>
      <c r="C16" s="120"/>
      <c r="D16" s="117"/>
      <c r="E16" s="117"/>
      <c r="F16" s="117"/>
      <c r="G16" s="117"/>
      <c r="H16" s="117"/>
      <c r="I16" s="117"/>
      <c r="J16" s="117"/>
      <c r="K16" s="117"/>
      <c r="L16" s="117"/>
      <c r="M16" s="120"/>
      <c r="N16" s="120"/>
    </row>
    <row r="17" spans="1:14" ht="12.75">
      <c r="A17" s="127"/>
      <c r="B17" s="120"/>
      <c r="C17" s="120"/>
      <c r="D17" s="117"/>
      <c r="E17" s="117"/>
      <c r="F17" s="117"/>
      <c r="G17" s="117"/>
      <c r="H17" s="117"/>
      <c r="I17" s="117"/>
      <c r="J17" s="117"/>
      <c r="K17" s="117"/>
      <c r="L17" s="117"/>
      <c r="M17" s="120"/>
      <c r="N17" s="120"/>
    </row>
    <row r="18" spans="1:36" ht="12.75">
      <c r="A18" s="128" t="s">
        <v>168</v>
      </c>
      <c r="B18" s="120"/>
      <c r="C18" s="120"/>
      <c r="D18" s="115">
        <f>693334</f>
        <v>693334</v>
      </c>
      <c r="E18" s="115">
        <f>54489</f>
        <v>54489</v>
      </c>
      <c r="F18" s="115">
        <f>15440</f>
        <v>15440</v>
      </c>
      <c r="G18" s="115">
        <f>1200</f>
        <v>1200</v>
      </c>
      <c r="H18" s="115">
        <f>-2078</f>
        <v>-2078</v>
      </c>
      <c r="I18" s="115">
        <f>-4887</f>
        <v>-4887</v>
      </c>
      <c r="J18" s="115">
        <f>176141</f>
        <v>176141</v>
      </c>
      <c r="K18" s="43">
        <f>SUM(D18:J18)</f>
        <v>933639</v>
      </c>
      <c r="L18" s="115">
        <f>7784</f>
        <v>7784</v>
      </c>
      <c r="M18" s="115">
        <f>L18+K18</f>
        <v>941423</v>
      </c>
      <c r="N18" s="115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2.75">
      <c r="A19" s="128"/>
      <c r="B19" s="120"/>
      <c r="C19" s="120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2.75">
      <c r="A20" s="176" t="s">
        <v>157</v>
      </c>
      <c r="B20" s="120"/>
      <c r="C20" s="120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2.75">
      <c r="A21" s="120" t="s">
        <v>110</v>
      </c>
      <c r="B21" s="120"/>
      <c r="C21" s="120"/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-1953</v>
      </c>
      <c r="J21" s="115">
        <v>0</v>
      </c>
      <c r="K21" s="115">
        <f>SUM(D21:J21)</f>
        <v>-1953</v>
      </c>
      <c r="L21" s="115">
        <v>0</v>
      </c>
      <c r="M21" s="115">
        <f>L21+K21</f>
        <v>-1953</v>
      </c>
      <c r="N21" s="115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2.75">
      <c r="A22" s="120"/>
      <c r="B22" s="120"/>
      <c r="C22" s="120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15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2.75">
      <c r="A23" s="147" t="s">
        <v>158</v>
      </c>
      <c r="B23" s="120"/>
      <c r="C23" s="120"/>
      <c r="D23" s="131">
        <f aca="true" t="shared" si="0" ref="D23:M23">SUM(D20:D21)</f>
        <v>0</v>
      </c>
      <c r="E23" s="131">
        <f t="shared" si="0"/>
        <v>0</v>
      </c>
      <c r="F23" s="131">
        <f t="shared" si="0"/>
        <v>0</v>
      </c>
      <c r="G23" s="131">
        <f t="shared" si="0"/>
        <v>0</v>
      </c>
      <c r="H23" s="131">
        <f t="shared" si="0"/>
        <v>0</v>
      </c>
      <c r="I23" s="131">
        <f t="shared" si="0"/>
        <v>-1953</v>
      </c>
      <c r="J23" s="131">
        <f t="shared" si="0"/>
        <v>0</v>
      </c>
      <c r="K23" s="131">
        <f t="shared" si="0"/>
        <v>-1953</v>
      </c>
      <c r="L23" s="131">
        <f t="shared" si="0"/>
        <v>0</v>
      </c>
      <c r="M23" s="131">
        <f t="shared" si="0"/>
        <v>-1953</v>
      </c>
      <c r="N23" s="115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2.75">
      <c r="A24" s="120"/>
      <c r="B24" s="120"/>
      <c r="C24" s="120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2.75">
      <c r="A25" s="150" t="s">
        <v>139</v>
      </c>
      <c r="B25" s="120"/>
      <c r="C25" s="120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2.75">
      <c r="A26" s="150" t="s">
        <v>166</v>
      </c>
      <c r="B26" s="120"/>
      <c r="C26" s="120"/>
      <c r="D26" s="115">
        <v>0</v>
      </c>
      <c r="E26" s="115">
        <v>0</v>
      </c>
      <c r="F26" s="115">
        <f>'CI'!H22+'CI'!H24</f>
        <v>7060.74</v>
      </c>
      <c r="G26" s="115">
        <v>0</v>
      </c>
      <c r="H26" s="115">
        <f>H28-H18</f>
        <v>2644.0124945546736</v>
      </c>
      <c r="I26" s="115">
        <v>0</v>
      </c>
      <c r="J26" s="115">
        <f>'P&amp;L'!H57</f>
        <v>1065.4643834543945</v>
      </c>
      <c r="K26" s="115">
        <f>SUM(D26:J26)</f>
        <v>10770.216878009069</v>
      </c>
      <c r="L26" s="115">
        <f>'CI'!H35</f>
        <v>192.45330905091475</v>
      </c>
      <c r="M26" s="115">
        <f>L26+K26-1</f>
        <v>10961.670187059983</v>
      </c>
      <c r="N26" s="115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2.75">
      <c r="A27" s="120"/>
      <c r="B27" s="120"/>
      <c r="C27" s="120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3.5" thickBot="1">
      <c r="A28" s="128" t="s">
        <v>217</v>
      </c>
      <c r="B28" s="120"/>
      <c r="C28" s="120"/>
      <c r="D28" s="129">
        <f>D26+D23+D18</f>
        <v>693334</v>
      </c>
      <c r="E28" s="129">
        <f>E26+E23+E18</f>
        <v>54489</v>
      </c>
      <c r="F28" s="129">
        <f>F26+F23+F18</f>
        <v>22500.739999999998</v>
      </c>
      <c r="G28" s="129">
        <f>G26+G23+G18</f>
        <v>1200</v>
      </c>
      <c r="H28" s="129">
        <f>'[2]M-GER95A.XLS'!$X$104</f>
        <v>566.0124945546736</v>
      </c>
      <c r="I28" s="129">
        <f>'[2]M-GER95A.XLS'!$X$103</f>
        <v>-6840</v>
      </c>
      <c r="J28" s="129">
        <f>J26+J23+J18</f>
        <v>177206.46438345438</v>
      </c>
      <c r="K28" s="129">
        <f>K26+K23+K18</f>
        <v>942456.216878009</v>
      </c>
      <c r="L28" s="129">
        <f>'BS'!G54</f>
        <v>7975.802165465428</v>
      </c>
      <c r="M28" s="129">
        <f>M26+M23+M18</f>
        <v>950431.67018706</v>
      </c>
      <c r="N28" s="115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4:36" ht="12.75">
      <c r="D29" s="43"/>
      <c r="E29" s="43"/>
      <c r="F29" s="43"/>
      <c r="G29" s="43"/>
      <c r="H29" s="43"/>
      <c r="I29" s="43"/>
      <c r="J29" s="43"/>
      <c r="K29" s="1"/>
      <c r="L29" s="1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2.75">
      <c r="A30" s="17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2.75">
      <c r="A31" s="127" t="s">
        <v>218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2.75">
      <c r="A32" s="12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2.75">
      <c r="A33" s="51" t="s">
        <v>118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2.75">
      <c r="A34" s="5" t="s">
        <v>134</v>
      </c>
      <c r="D34" s="43">
        <v>693334</v>
      </c>
      <c r="E34" s="43">
        <f>54489</f>
        <v>54489</v>
      </c>
      <c r="F34" s="43">
        <v>0</v>
      </c>
      <c r="G34" s="43">
        <v>1200</v>
      </c>
      <c r="H34" s="43">
        <f>924</f>
        <v>924</v>
      </c>
      <c r="I34" s="43">
        <f>-2963</f>
        <v>-2963</v>
      </c>
      <c r="J34" s="43">
        <f>59898</f>
        <v>59898</v>
      </c>
      <c r="K34" s="43">
        <f>SUM(D34:J34)</f>
        <v>806882</v>
      </c>
      <c r="L34" s="43">
        <f>19549</f>
        <v>19549</v>
      </c>
      <c r="M34" s="43">
        <f>L34+K34</f>
        <v>826431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4:36" ht="12.7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>
      <c r="A36" s="5" t="s">
        <v>164</v>
      </c>
      <c r="D36" s="49">
        <v>0</v>
      </c>
      <c r="E36" s="49">
        <v>0</v>
      </c>
      <c r="F36" s="49">
        <f>6760</f>
        <v>6760</v>
      </c>
      <c r="G36" s="49">
        <v>0</v>
      </c>
      <c r="H36" s="49">
        <v>0</v>
      </c>
      <c r="I36" s="49">
        <v>0</v>
      </c>
      <c r="J36" s="49">
        <v>0</v>
      </c>
      <c r="K36" s="49">
        <f>SUM(D36:J36)</f>
        <v>6760</v>
      </c>
      <c r="L36" s="49">
        <v>0</v>
      </c>
      <c r="M36" s="49">
        <f>L36+K36</f>
        <v>6760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4:36" ht="12.7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>
      <c r="A38" t="s">
        <v>135</v>
      </c>
      <c r="D38" s="43">
        <f aca="true" t="shared" si="1" ref="D38:M38">D36+D34</f>
        <v>693334</v>
      </c>
      <c r="E38" s="43">
        <f t="shared" si="1"/>
        <v>54489</v>
      </c>
      <c r="F38" s="43">
        <f t="shared" si="1"/>
        <v>6760</v>
      </c>
      <c r="G38" s="43">
        <f t="shared" si="1"/>
        <v>1200</v>
      </c>
      <c r="H38" s="43">
        <f t="shared" si="1"/>
        <v>924</v>
      </c>
      <c r="I38" s="43">
        <f t="shared" si="1"/>
        <v>-2963</v>
      </c>
      <c r="J38" s="43">
        <f t="shared" si="1"/>
        <v>59898</v>
      </c>
      <c r="K38" s="43">
        <f t="shared" si="1"/>
        <v>813642</v>
      </c>
      <c r="L38" s="43">
        <f t="shared" si="1"/>
        <v>19549</v>
      </c>
      <c r="M38" s="43">
        <f t="shared" si="1"/>
        <v>833191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4:36" ht="12.75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ht="12.75">
      <c r="A40" s="176" t="s">
        <v>157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ht="12.75">
      <c r="A41" t="s">
        <v>110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f>-463</f>
        <v>-463</v>
      </c>
      <c r="J41" s="43">
        <v>0</v>
      </c>
      <c r="K41" s="43">
        <f>SUM(D41:J41)</f>
        <v>-463</v>
      </c>
      <c r="L41" s="43">
        <v>0</v>
      </c>
      <c r="M41" s="43">
        <f>L41+K41</f>
        <v>-463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4:36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ht="12.75">
      <c r="A43" t="s">
        <v>165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ht="12.75">
      <c r="A44" t="s">
        <v>131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f>SUM(D44:J44)</f>
        <v>0</v>
      </c>
      <c r="L44" s="43">
        <f>-12044</f>
        <v>-12044</v>
      </c>
      <c r="M44" s="43">
        <f>L44+K44</f>
        <v>-12044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4:36" ht="12.75"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ht="12.75">
      <c r="A46" s="147" t="s">
        <v>158</v>
      </c>
      <c r="D46" s="49">
        <f aca="true" t="shared" si="2" ref="D46:M46">SUM(D40:D44)</f>
        <v>0</v>
      </c>
      <c r="E46" s="49">
        <f t="shared" si="2"/>
        <v>0</v>
      </c>
      <c r="F46" s="49">
        <f t="shared" si="2"/>
        <v>0</v>
      </c>
      <c r="G46" s="49">
        <f t="shared" si="2"/>
        <v>0</v>
      </c>
      <c r="H46" s="49">
        <f t="shared" si="2"/>
        <v>0</v>
      </c>
      <c r="I46" s="49">
        <f t="shared" si="2"/>
        <v>-463</v>
      </c>
      <c r="J46" s="49">
        <f t="shared" si="2"/>
        <v>0</v>
      </c>
      <c r="K46" s="49">
        <f t="shared" si="2"/>
        <v>-463</v>
      </c>
      <c r="L46" s="49">
        <f t="shared" si="2"/>
        <v>-12044</v>
      </c>
      <c r="M46" s="49">
        <f t="shared" si="2"/>
        <v>-12507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4:36" ht="12.7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12.75">
      <c r="A48" s="150" t="s">
        <v>139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ht="12.75">
      <c r="A49" s="150" t="s">
        <v>166</v>
      </c>
      <c r="D49" s="43">
        <v>0</v>
      </c>
      <c r="E49" s="43">
        <v>0</v>
      </c>
      <c r="F49" s="43">
        <f>6902</f>
        <v>6902</v>
      </c>
      <c r="G49" s="43">
        <v>0</v>
      </c>
      <c r="H49" s="43">
        <f>-1307</f>
        <v>-1307</v>
      </c>
      <c r="I49" s="43">
        <v>0</v>
      </c>
      <c r="J49" s="43">
        <f>39061</f>
        <v>39061</v>
      </c>
      <c r="K49" s="43">
        <f>SUM(D49:J49)</f>
        <v>44656</v>
      </c>
      <c r="L49" s="43">
        <f>-51</f>
        <v>-51</v>
      </c>
      <c r="M49" s="43">
        <f>L49+K49</f>
        <v>44605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4:36" ht="12.7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ht="13.5" thickBot="1">
      <c r="A51" s="51" t="s">
        <v>219</v>
      </c>
      <c r="D51" s="50">
        <f aca="true" t="shared" si="3" ref="D51:M51">D49+D46+D38</f>
        <v>693334</v>
      </c>
      <c r="E51" s="50">
        <f t="shared" si="3"/>
        <v>54489</v>
      </c>
      <c r="F51" s="50">
        <f t="shared" si="3"/>
        <v>13662</v>
      </c>
      <c r="G51" s="50">
        <f t="shared" si="3"/>
        <v>1200</v>
      </c>
      <c r="H51" s="50">
        <f t="shared" si="3"/>
        <v>-383</v>
      </c>
      <c r="I51" s="50">
        <f t="shared" si="3"/>
        <v>-3426</v>
      </c>
      <c r="J51" s="50">
        <f t="shared" si="3"/>
        <v>98959</v>
      </c>
      <c r="K51" s="50">
        <f t="shared" si="3"/>
        <v>857835</v>
      </c>
      <c r="L51" s="50">
        <f t="shared" si="3"/>
        <v>7454</v>
      </c>
      <c r="M51" s="50">
        <f t="shared" si="3"/>
        <v>865289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4:36" ht="12.75">
      <c r="D52" s="43"/>
      <c r="E52" s="43"/>
      <c r="F52" s="43"/>
      <c r="G52" s="43"/>
      <c r="H52" s="43"/>
      <c r="I52" s="43"/>
      <c r="J52" s="43"/>
      <c r="M52" s="43">
        <f>SUM(M38:M50)-M51-M46</f>
        <v>0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4:36" ht="12.75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4:36" ht="12.7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ht="12.75">
      <c r="A55" s="184" t="s">
        <v>200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ht="12.75">
      <c r="A56" s="184" t="s">
        <v>167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4:36" ht="12.7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4:36" ht="12.7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4:36" ht="12.7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4:36" ht="12.7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4:36" ht="12.75">
      <c r="D61" s="43"/>
      <c r="E61" s="43"/>
      <c r="F61" s="43"/>
      <c r="G61" s="43"/>
      <c r="H61" s="43"/>
      <c r="I61" s="43"/>
      <c r="J61" s="43"/>
      <c r="K61" s="43"/>
      <c r="L61" s="15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4:36" ht="12.7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4:36" ht="12.7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4:36" ht="12.7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4:36" ht="12.7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4:36" ht="12.7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4:36" ht="12.7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4:36" ht="12.7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4:36" ht="12.7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4:36" ht="12.7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4:36" ht="12.7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4:36" ht="12.7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4:36" ht="12.7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4:36" ht="12.7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4:36" ht="12.7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4:36" ht="12.7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4:36" ht="12.7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4:36" ht="12.7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4:36" ht="12.7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4:36" ht="12.7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4:36" ht="12.7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4:36" ht="12.7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4:36" ht="12.7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4:36" ht="12.7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4:36" ht="12.7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4:36" ht="12.7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4:36" ht="12.7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4:36" ht="12.7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4:36" ht="12.7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4:36" ht="12.7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4:36" ht="12.7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4:36" ht="12.7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4:36" ht="12.7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4:36" ht="12.7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4:36" ht="12.7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4:36" ht="12.7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4:36" ht="12.7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4:36" ht="12.7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4:36" ht="12.7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4:36" ht="12.7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4:36" ht="12.7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4:36" ht="12.7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4:36" ht="12.7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4:36" ht="12.7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4:36" ht="12.7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4:36" ht="12.7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4:36" ht="12.7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4:36" ht="12.7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4:36" ht="12.7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4:36" ht="12.7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4:36" ht="12.7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4:36" ht="12.7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4:36" ht="12.7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4:36" ht="12.7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4:36" ht="12.7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4:36" ht="12.7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4:36" ht="12.7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4:36" ht="12.7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4:36" ht="12.7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4:36" ht="12.7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4:36" ht="12.7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4:36" ht="12.7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4:36" ht="12.7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4:36" ht="12.7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4:36" ht="12.7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</row>
    <row r="126" spans="4:36" ht="12.7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</row>
    <row r="127" spans="4:36" ht="12.7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</row>
    <row r="128" spans="4:36" ht="12.7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</row>
    <row r="129" spans="4:36" ht="12.7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</row>
    <row r="130" spans="4:36" ht="12.7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</row>
    <row r="131" spans="4:36" ht="12.7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</row>
    <row r="132" spans="4:36" ht="12.7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</row>
    <row r="133" spans="4:36" ht="12.7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</row>
    <row r="134" spans="4:36" ht="12.7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</row>
    <row r="135" spans="4:36" ht="12.7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</row>
    <row r="136" spans="4:36" ht="12.7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</row>
    <row r="137" spans="4:36" ht="12.7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</row>
    <row r="138" spans="4:36" ht="12.7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</row>
    <row r="139" spans="4:36" ht="12.7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</row>
    <row r="140" spans="4:36" ht="12.7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</row>
    <row r="141" spans="4:36" ht="12.7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</row>
    <row r="142" spans="4:36" ht="12.7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</row>
    <row r="143" spans="4:36" ht="12.7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</row>
    <row r="144" spans="4:36" ht="12.7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</row>
    <row r="145" spans="4:36" ht="12.7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</row>
    <row r="146" spans="4:36" ht="12.7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</row>
    <row r="147" spans="4:36" ht="12.7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</row>
    <row r="148" spans="4:36" ht="12.7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</row>
    <row r="149" spans="4:36" ht="12.7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</row>
    <row r="150" spans="4:36" ht="12.7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</row>
    <row r="151" spans="4:36" ht="12.7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</row>
    <row r="152" spans="4:36" ht="12.7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4:36" ht="12.7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</row>
    <row r="154" spans="4:36" ht="12.7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</row>
    <row r="155" spans="4:36" ht="12.7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</row>
    <row r="156" spans="4:36" ht="12.7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</row>
    <row r="157" spans="4:36" ht="12.7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</row>
    <row r="158" spans="4:36" ht="12.7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4:36" ht="12.7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</row>
    <row r="160" spans="4:36" ht="12.7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</row>
    <row r="161" spans="4:36" ht="12.7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</row>
    <row r="162" spans="4:36" ht="12.7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</row>
    <row r="163" spans="4:36" ht="12.7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</row>
    <row r="164" spans="4:36" ht="12.7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</row>
    <row r="165" spans="4:36" ht="12.7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</row>
    <row r="166" spans="4:36" ht="12.7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</row>
    <row r="167" spans="4:36" ht="12.7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</row>
    <row r="168" spans="4:36" ht="12.7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</row>
    <row r="169" spans="4:36" ht="12.7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</row>
    <row r="170" spans="4:36" ht="12.7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</row>
    <row r="171" spans="4:36" ht="12.7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</row>
    <row r="172" spans="4:36" ht="12.7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</row>
    <row r="173" spans="4:36" ht="12.7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</row>
    <row r="174" spans="4:36" ht="12.7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</row>
    <row r="175" spans="4:36" ht="12.7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</row>
    <row r="176" spans="4:36" ht="12.7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</row>
    <row r="177" spans="4:36" ht="12.7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</row>
    <row r="178" spans="4:36" ht="12.7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4:36" ht="12.7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</row>
    <row r="180" spans="4:36" ht="12.7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4:36" ht="12.7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4:36" ht="12.7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4:36" ht="12.7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4:36" ht="12.7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4:36" ht="12.7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4:36" ht="12.7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4:36" ht="12.7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4:36" ht="12.7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4:36" ht="12.7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</row>
    <row r="190" spans="4:36" ht="12.7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</row>
    <row r="191" spans="4:36" ht="12.7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</row>
    <row r="192" spans="4:36" ht="12.7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</row>
    <row r="193" spans="4:36" ht="12.7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</row>
    <row r="194" spans="4:36" ht="12.7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</row>
    <row r="195" spans="4:36" ht="12.7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</row>
    <row r="196" spans="4:36" ht="12.7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</row>
    <row r="197" spans="4:36" ht="12.7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</row>
    <row r="198" spans="4:36" ht="12.7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</row>
    <row r="199" spans="4:36" ht="12.7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</row>
    <row r="200" spans="4:36" ht="12.7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</row>
    <row r="201" spans="4:36" ht="12.7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</row>
    <row r="202" spans="4:36" ht="12.7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</row>
    <row r="203" spans="4:36" ht="12.7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</row>
    <row r="204" spans="4:36" ht="12.7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</row>
    <row r="205" spans="4:36" ht="12.7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</row>
    <row r="206" spans="4:36" ht="12.7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</row>
    <row r="207" spans="4:36" ht="12.7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</row>
    <row r="208" spans="4:36" ht="12.7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</row>
    <row r="209" spans="4:36" ht="12.7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</row>
    <row r="210" spans="4:36" ht="12.7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</row>
    <row r="211" spans="4:36" ht="12.7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</row>
    <row r="212" spans="4:36" ht="12.7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</row>
    <row r="213" spans="4:36" ht="12.7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</row>
    <row r="214" spans="4:36" ht="12.7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</row>
    <row r="215" spans="4:36" ht="12.7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</row>
    <row r="216" spans="4:36" ht="12.7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</row>
    <row r="217" spans="4:36" ht="12.7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</row>
    <row r="218" spans="4:36" ht="12.7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</row>
    <row r="219" spans="4:36" ht="12.7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</row>
    <row r="220" spans="4:36" ht="12.7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</row>
    <row r="221" spans="4:36" ht="12.7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</row>
    <row r="222" spans="4:36" ht="12.7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</row>
    <row r="223" spans="4:36" ht="12.7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</row>
    <row r="224" spans="4:36" ht="12.7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</row>
    <row r="225" spans="4:36" ht="12.7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</row>
    <row r="226" spans="4:36" ht="12.7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</row>
    <row r="227" spans="4:36" ht="12.7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</row>
    <row r="228" spans="4:36" ht="12.7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</row>
    <row r="229" spans="4:36" ht="12.7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</row>
    <row r="230" spans="4:36" ht="12.7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</row>
    <row r="231" spans="4:36" ht="12.7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</row>
    <row r="232" spans="4:36" ht="12.7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</row>
    <row r="233" spans="4:36" ht="12.7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</row>
    <row r="234" spans="4:36" ht="12.7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</row>
    <row r="235" spans="4:36" ht="12.7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</row>
    <row r="236" spans="4:36" ht="12.7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</row>
    <row r="237" spans="4:36" ht="12.7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</row>
    <row r="238" spans="4:36" ht="12.7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</row>
    <row r="239" spans="4:36" ht="12.7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</row>
    <row r="240" spans="4:36" ht="12.7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</row>
    <row r="241" spans="4:36" ht="12.7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</row>
    <row r="242" spans="4:36" ht="12.7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</row>
    <row r="243" spans="4:36" ht="12.7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</row>
    <row r="244" spans="4:36" ht="12.7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</row>
    <row r="245" spans="4:36" ht="12.7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</row>
    <row r="246" spans="4:36" ht="12.7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</row>
    <row r="247" spans="4:36" ht="12.7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</row>
    <row r="248" spans="4:36" ht="12.7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</row>
    <row r="249" spans="4:36" ht="12.75"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</row>
    <row r="250" spans="4:36" ht="12.75"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</row>
    <row r="251" spans="4:36" ht="12.75"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</row>
    <row r="252" spans="4:36" ht="12.75"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</row>
    <row r="253" spans="4:36" ht="12.75"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</row>
    <row r="254" spans="4:36" ht="12.75"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</row>
    <row r="255" spans="4:36" ht="12.75"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</row>
    <row r="256" spans="4:36" ht="12.75"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4:36" ht="12.75"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</row>
    <row r="258" spans="4:36" ht="12.75"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</row>
    <row r="259" spans="4:36" ht="12.75"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</row>
    <row r="260" spans="4:36" ht="12.75"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</row>
    <row r="261" spans="4:36" ht="12.75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</row>
    <row r="262" spans="4:36" ht="12.75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</row>
    <row r="263" spans="4:36" ht="12.75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</row>
    <row r="264" spans="4:36" ht="12.75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</row>
    <row r="265" spans="4:36" ht="12.75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</row>
    <row r="266" spans="4:36" ht="12.75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</row>
    <row r="267" spans="4:36" ht="12.75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</row>
    <row r="268" spans="4:36" ht="12.75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</row>
    <row r="269" spans="4:36" ht="12.75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</row>
    <row r="270" spans="4:36" ht="12.75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</row>
    <row r="271" spans="4:36" ht="12.75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</row>
    <row r="272" spans="4:36" ht="12.75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</row>
    <row r="273" spans="4:36" ht="12.75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</row>
    <row r="274" spans="4:36" ht="12.75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</row>
    <row r="275" spans="4:36" ht="12.75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</row>
    <row r="276" spans="4:36" ht="12.75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</row>
    <row r="277" spans="4:36" ht="12.75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</row>
    <row r="278" spans="4:36" ht="12.75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</row>
    <row r="279" spans="4:36" ht="12.75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</row>
    <row r="280" spans="4:36" ht="12.75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</row>
    <row r="281" spans="4:36" ht="12.75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</row>
    <row r="282" spans="4:36" ht="12.75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</row>
    <row r="283" spans="4:36" ht="12.75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</row>
    <row r="284" spans="4:36" ht="12.75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</row>
    <row r="285" spans="4:36" ht="12.75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</row>
    <row r="286" spans="4:36" ht="12.75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</row>
    <row r="287" spans="4:36" ht="12.75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</row>
    <row r="288" spans="4:36" ht="12.75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</row>
    <row r="289" spans="4:36" ht="12.75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</row>
    <row r="290" spans="4:36" ht="12.75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</row>
    <row r="291" spans="4:36" ht="12.75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</row>
    <row r="292" spans="4:36" ht="12.75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</row>
    <row r="293" spans="4:36" ht="12.75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</row>
    <row r="294" spans="4:36" ht="12.75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</row>
    <row r="295" spans="4:36" ht="12.75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</row>
    <row r="296" spans="4:36" ht="12.75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</row>
    <row r="297" spans="4:36" ht="12.75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</row>
    <row r="298" spans="4:36" ht="12.75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</row>
    <row r="299" spans="4:36" ht="12.75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</row>
    <row r="300" spans="4:36" ht="12.7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</row>
    <row r="301" spans="4:36" ht="12.7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</row>
    <row r="302" spans="4:36" ht="12.7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</row>
    <row r="303" spans="4:36" ht="12.7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</row>
    <row r="304" spans="4:36" ht="12.7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</row>
    <row r="305" spans="4:36" ht="12.7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</row>
    <row r="306" spans="4:36" ht="12.7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</row>
    <row r="307" spans="4:36" ht="12.7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</row>
    <row r="308" spans="4:36" ht="12.7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</row>
    <row r="309" spans="4:36" ht="12.7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</row>
    <row r="310" spans="4:36" ht="12.7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</row>
    <row r="311" spans="4:36" ht="12.7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</row>
    <row r="312" spans="4:36" ht="12.7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</row>
    <row r="313" spans="4:36" ht="12.7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</row>
    <row r="314" spans="4:36" ht="12.7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</row>
    <row r="315" spans="4:36" ht="12.75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</row>
    <row r="316" spans="4:36" ht="12.75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</row>
    <row r="317" spans="4:36" ht="12.75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</row>
    <row r="318" spans="4:36" ht="12.75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</row>
    <row r="319" spans="4:36" ht="12.75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</row>
    <row r="320" spans="4:36" ht="12.75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</row>
    <row r="321" spans="4:36" ht="12.75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</row>
    <row r="322" spans="4:36" ht="12.75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</row>
    <row r="323" spans="4:36" ht="12.75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</row>
    <row r="324" spans="4:36" ht="12.75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</row>
    <row r="325" spans="4:36" ht="12.75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</row>
    <row r="326" spans="4:36" ht="12.75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</row>
    <row r="327" spans="4:36" ht="12.75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</row>
    <row r="328" spans="4:36" ht="12.75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</row>
    <row r="329" spans="4:36" ht="12.75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</row>
    <row r="330" spans="4:36" ht="12.75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</row>
    <row r="331" spans="4:36" ht="12.75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</row>
    <row r="332" spans="4:36" ht="12.75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</row>
    <row r="333" spans="4:36" ht="12.75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</row>
    <row r="334" spans="4:36" ht="12.75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</row>
    <row r="335" spans="4:36" ht="12.75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</row>
    <row r="336" spans="4:36" ht="12.75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</row>
    <row r="337" spans="4:36" ht="12.75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</row>
    <row r="338" spans="4:36" ht="12.75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</row>
    <row r="339" spans="4:36" ht="12.75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</row>
    <row r="340" spans="4:36" ht="12.75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</row>
    <row r="341" spans="4:36" ht="12.75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</row>
    <row r="342" spans="4:36" ht="12.75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</row>
    <row r="343" spans="4:36" ht="12.75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</row>
    <row r="344" spans="4:36" ht="12.75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</row>
    <row r="345" spans="4:36" ht="12.75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</row>
    <row r="346" spans="4:36" ht="12.75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</row>
    <row r="347" spans="4:36" ht="12.75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</row>
    <row r="348" spans="4:36" ht="12.75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</row>
    <row r="349" spans="4:36" ht="12.75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</row>
    <row r="350" spans="4:36" ht="12.75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</row>
    <row r="351" spans="4:36" ht="12.75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</row>
    <row r="352" spans="4:36" ht="12.75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</row>
    <row r="353" spans="4:36" ht="12.75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</row>
    <row r="354" spans="4:36" ht="12.75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</row>
    <row r="355" spans="4:36" ht="12.75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</row>
    <row r="356" spans="4:36" ht="12.75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</row>
    <row r="357" spans="4:36" ht="12.75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</row>
    <row r="358" spans="4:36" ht="12.75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</row>
    <row r="359" spans="4:36" ht="12.75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</row>
    <row r="360" spans="4:36" ht="12.75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</row>
    <row r="361" spans="4:36" ht="12.75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</row>
    <row r="362" spans="4:36" ht="12.75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</row>
    <row r="363" spans="4:36" ht="12.75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</row>
    <row r="364" spans="4:36" ht="12.75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</row>
    <row r="365" spans="4:36" ht="12.75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</row>
    <row r="366" spans="4:36" ht="12.75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</row>
    <row r="367" spans="4:36" ht="12.7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</row>
    <row r="368" spans="4:36" ht="12.75"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</row>
    <row r="369" spans="4:36" ht="12.75"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</row>
    <row r="370" spans="4:36" ht="12.75"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</row>
    <row r="371" spans="4:36" ht="12.75"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</row>
    <row r="372" spans="4:36" ht="12.75"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</row>
    <row r="373" spans="4:36" ht="12.75"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</row>
    <row r="374" spans="4:36" ht="12.75"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</row>
    <row r="375" spans="4:36" ht="12.75"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</row>
    <row r="376" spans="4:36" ht="12.75"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</row>
    <row r="377" spans="4:36" ht="12.75"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</row>
    <row r="378" spans="4:36" ht="12.75"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</row>
    <row r="379" spans="4:36" ht="12.75"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</row>
    <row r="380" spans="4:36" ht="12.75"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</row>
    <row r="381" spans="4:36" ht="12.75"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</row>
    <row r="382" spans="4:36" ht="12.75"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</row>
    <row r="383" spans="4:36" ht="12.75"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</row>
    <row r="384" spans="4:36" ht="12.75"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</row>
    <row r="385" spans="4:36" ht="12.75"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</row>
    <row r="386" spans="4:36" ht="12.75"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</row>
    <row r="387" spans="4:36" ht="12.75"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</row>
    <row r="388" spans="4:36" ht="12.75"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</row>
    <row r="389" spans="4:36" ht="12.75"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</row>
    <row r="390" spans="4:36" ht="12.75"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</row>
    <row r="391" spans="4:36" ht="12.75"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</row>
    <row r="392" spans="4:36" ht="12.75"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</row>
    <row r="393" spans="4:36" ht="12.75"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</row>
    <row r="394" spans="4:36" ht="12.75"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</row>
    <row r="395" spans="4:36" ht="12.75"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</row>
    <row r="396" spans="4:36" ht="12.75"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</row>
    <row r="397" spans="4:36" ht="12.75"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</row>
    <row r="398" spans="4:36" ht="12.75"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</row>
    <row r="399" spans="4:36" ht="12.75"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</row>
    <row r="400" spans="4:36" ht="12.75"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</row>
    <row r="401" spans="4:36" ht="12.75"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</row>
    <row r="402" spans="4:36" ht="12.75"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</row>
    <row r="403" spans="4:36" ht="12.75"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</row>
    <row r="404" spans="4:36" ht="12.75"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</row>
    <row r="405" spans="4:36" ht="12.75"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</row>
    <row r="406" spans="4:36" ht="12.75"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</row>
    <row r="407" spans="4:36" ht="12.75"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</row>
    <row r="408" spans="4:36" ht="12.75"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</row>
    <row r="409" spans="4:36" ht="12.75"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</row>
    <row r="410" spans="4:36" ht="12.75"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</row>
    <row r="411" spans="4:36" ht="12.75"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</row>
    <row r="412" spans="4:36" ht="12.75"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</row>
    <row r="413" spans="4:36" ht="12.75"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</row>
    <row r="414" spans="4:36" ht="12.75"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</row>
    <row r="415" spans="4:36" ht="12.75"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</row>
    <row r="416" spans="4:36" ht="12.75"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</row>
    <row r="417" spans="4:36" ht="12.75"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</row>
    <row r="418" spans="4:36" ht="12.75"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</row>
    <row r="419" spans="4:36" ht="12.75"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</row>
    <row r="420" spans="4:36" ht="12.75"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</row>
    <row r="421" spans="4:36" ht="12.75"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</row>
    <row r="422" spans="4:36" ht="12.75"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</row>
    <row r="423" spans="4:36" ht="12.75"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</row>
    <row r="424" spans="4:36" ht="12.75"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</row>
    <row r="425" spans="4:36" ht="12.75"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</row>
    <row r="426" spans="4:36" ht="12.75"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</row>
    <row r="427" spans="4:36" ht="12.75"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</row>
    <row r="428" spans="4:36" ht="12.75"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</row>
    <row r="429" spans="4:36" ht="12.75"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</row>
  </sheetData>
  <mergeCells count="5">
    <mergeCell ref="A56:M56"/>
    <mergeCell ref="A55:M55"/>
    <mergeCell ref="A1:K1"/>
    <mergeCell ref="A2:K2"/>
    <mergeCell ref="A3:K3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80" zoomScaleNormal="80" workbookViewId="0" topLeftCell="A6">
      <selection activeCell="J37" sqref="J37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25.7109375" style="0" customWidth="1"/>
  </cols>
  <sheetData>
    <row r="1" spans="1:10" ht="15.75">
      <c r="A1" s="188" t="s">
        <v>3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2.75">
      <c r="A2" s="189" t="s">
        <v>19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.75">
      <c r="A3" s="189" t="s">
        <v>20</v>
      </c>
      <c r="B3" s="189"/>
      <c r="C3" s="189"/>
      <c r="D3" s="189"/>
      <c r="E3" s="189"/>
      <c r="F3" s="189"/>
      <c r="G3" s="189"/>
      <c r="H3" s="189"/>
      <c r="I3" s="189"/>
      <c r="J3" s="189"/>
    </row>
    <row r="5" spans="1:10" ht="13.5" thickBot="1">
      <c r="A5" s="54" t="s">
        <v>205</v>
      </c>
      <c r="B5" s="20"/>
      <c r="C5" s="20"/>
      <c r="D5" s="20"/>
      <c r="E5" s="20"/>
      <c r="F5" s="20"/>
      <c r="G5" s="20"/>
      <c r="H5" s="33"/>
      <c r="I5" s="33"/>
      <c r="J5" s="20"/>
    </row>
    <row r="6" spans="1:9" ht="12.75">
      <c r="A6" s="4"/>
      <c r="H6" s="4"/>
      <c r="I6" s="4"/>
    </row>
    <row r="7" spans="1:9" ht="12.75">
      <c r="A7" s="27" t="s">
        <v>201</v>
      </c>
      <c r="B7" s="4"/>
      <c r="C7" s="4"/>
      <c r="D7" s="4"/>
      <c r="E7" s="4"/>
      <c r="F7" s="4"/>
      <c r="G7" s="4"/>
      <c r="H7" s="4"/>
      <c r="I7" s="4"/>
    </row>
    <row r="8" spans="1:10" ht="12.75">
      <c r="A8" s="27"/>
      <c r="B8" s="4"/>
      <c r="C8" s="4"/>
      <c r="D8" s="4"/>
      <c r="E8" s="4"/>
      <c r="F8" s="21"/>
      <c r="G8" s="21"/>
      <c r="H8" s="21"/>
      <c r="I8" s="21"/>
      <c r="J8" s="77"/>
    </row>
    <row r="9" spans="1:10" ht="12.75">
      <c r="A9" s="4"/>
      <c r="B9" s="4"/>
      <c r="C9" s="4"/>
      <c r="D9" s="4"/>
      <c r="E9" s="4"/>
      <c r="F9" s="177"/>
      <c r="G9" s="4"/>
      <c r="H9" s="4"/>
      <c r="I9" s="4"/>
      <c r="J9" s="177"/>
    </row>
    <row r="10" spans="1:10" ht="12.75">
      <c r="A10" s="4"/>
      <c r="B10" s="4"/>
      <c r="C10" s="4"/>
      <c r="D10" s="190" t="s">
        <v>46</v>
      </c>
      <c r="E10" s="191"/>
      <c r="F10" s="192"/>
      <c r="G10" s="17"/>
      <c r="H10" s="193" t="s">
        <v>8</v>
      </c>
      <c r="I10" s="194"/>
      <c r="J10" s="195"/>
    </row>
    <row r="11" spans="1:10" ht="12.75">
      <c r="A11" s="4"/>
      <c r="B11" s="4"/>
      <c r="C11" s="4"/>
      <c r="D11" s="133" t="s">
        <v>171</v>
      </c>
      <c r="E11" s="16"/>
      <c r="F11" s="58" t="s">
        <v>122</v>
      </c>
      <c r="G11" s="21"/>
      <c r="H11" s="133" t="s">
        <v>171</v>
      </c>
      <c r="I11" s="16"/>
      <c r="J11" s="58" t="s">
        <v>122</v>
      </c>
    </row>
    <row r="12" spans="1:10" ht="12.75">
      <c r="A12" s="4"/>
      <c r="B12" s="4"/>
      <c r="C12" s="4"/>
      <c r="D12" s="134" t="s">
        <v>98</v>
      </c>
      <c r="E12" s="16"/>
      <c r="F12" s="58" t="s">
        <v>18</v>
      </c>
      <c r="G12" s="21"/>
      <c r="H12" s="134" t="s">
        <v>170</v>
      </c>
      <c r="I12" s="16"/>
      <c r="J12" s="74" t="s">
        <v>54</v>
      </c>
    </row>
    <row r="13" spans="1:10" ht="12.75">
      <c r="A13" s="4"/>
      <c r="B13" s="4"/>
      <c r="C13" s="4"/>
      <c r="D13" s="134" t="s">
        <v>16</v>
      </c>
      <c r="E13" s="16"/>
      <c r="F13" s="74" t="s">
        <v>100</v>
      </c>
      <c r="G13" s="21"/>
      <c r="H13" s="133" t="s">
        <v>15</v>
      </c>
      <c r="I13" s="16"/>
      <c r="J13" s="74" t="s">
        <v>169</v>
      </c>
    </row>
    <row r="14" spans="1:10" ht="12.75">
      <c r="A14" s="4"/>
      <c r="B14" s="4"/>
      <c r="C14" s="4"/>
      <c r="D14" s="135">
        <v>40908</v>
      </c>
      <c r="E14" s="18"/>
      <c r="F14" s="75">
        <v>40543</v>
      </c>
      <c r="G14" s="22"/>
      <c r="H14" s="135">
        <f>D14</f>
        <v>40908</v>
      </c>
      <c r="I14" s="63"/>
      <c r="J14" s="59">
        <f>F14</f>
        <v>40543</v>
      </c>
    </row>
    <row r="15" spans="1:10" ht="12.75">
      <c r="A15" s="4"/>
      <c r="B15" s="21"/>
      <c r="C15" s="4"/>
      <c r="D15" s="133" t="s">
        <v>5</v>
      </c>
      <c r="E15" s="18"/>
      <c r="F15" s="58" t="s">
        <v>5</v>
      </c>
      <c r="G15" s="21"/>
      <c r="H15" s="133" t="s">
        <v>6</v>
      </c>
      <c r="I15" s="16"/>
      <c r="J15" s="58" t="s">
        <v>6</v>
      </c>
    </row>
    <row r="16" spans="1:10" ht="12.75">
      <c r="A16" s="4"/>
      <c r="B16" s="21"/>
      <c r="C16" s="4"/>
      <c r="D16" s="133"/>
      <c r="E16" s="18"/>
      <c r="F16" s="58"/>
      <c r="G16" s="21"/>
      <c r="H16" s="133"/>
      <c r="I16" s="16"/>
      <c r="J16" s="58"/>
    </row>
    <row r="17" spans="1:10" ht="12.75">
      <c r="A17" s="42"/>
      <c r="B17" s="21"/>
      <c r="C17" s="4"/>
      <c r="D17" s="133"/>
      <c r="E17" s="18"/>
      <c r="F17" s="58"/>
      <c r="G17" s="21"/>
      <c r="H17" s="133"/>
      <c r="I17" s="16"/>
      <c r="J17" s="58"/>
    </row>
    <row r="18" spans="1:10" ht="12.75">
      <c r="A18" s="42" t="str">
        <f>'P&amp;L'!A49</f>
        <v>Profit/(loss) for the quarter/period</v>
      </c>
      <c r="B18" s="43"/>
      <c r="C18" s="43"/>
      <c r="D18" s="137">
        <f>'P&amp;L'!D49</f>
        <v>20847.91769250531</v>
      </c>
      <c r="E18" s="44"/>
      <c r="F18" s="79">
        <f>'P&amp;L'!F49</f>
        <v>12157</v>
      </c>
      <c r="G18" s="43"/>
      <c r="H18" s="137">
        <f>'P&amp;L'!H49</f>
        <v>1122.9176925053093</v>
      </c>
      <c r="I18" s="44"/>
      <c r="J18" s="76">
        <f>'P&amp;L'!J49</f>
        <v>39131</v>
      </c>
    </row>
    <row r="19" spans="2:10" ht="12.75">
      <c r="B19" s="43"/>
      <c r="C19" s="43"/>
      <c r="D19" s="137"/>
      <c r="E19" s="44"/>
      <c r="F19" s="79"/>
      <c r="G19" s="43"/>
      <c r="H19" s="137"/>
      <c r="I19" s="44"/>
      <c r="J19" s="76"/>
    </row>
    <row r="20" spans="1:10" ht="15">
      <c r="A20" s="162" t="s">
        <v>130</v>
      </c>
      <c r="B20" s="43"/>
      <c r="C20" s="43"/>
      <c r="D20" s="137"/>
      <c r="E20" s="44"/>
      <c r="F20" s="79"/>
      <c r="G20" s="43"/>
      <c r="H20" s="137"/>
      <c r="I20" s="44"/>
      <c r="J20" s="45"/>
    </row>
    <row r="21" spans="1:10" ht="12.75">
      <c r="A21" s="42" t="s">
        <v>174</v>
      </c>
      <c r="B21" s="43"/>
      <c r="C21" s="43"/>
      <c r="D21" s="137"/>
      <c r="E21" s="44"/>
      <c r="F21" s="79"/>
      <c r="G21" s="43"/>
      <c r="H21" s="137"/>
      <c r="I21" s="44"/>
      <c r="J21" s="45"/>
    </row>
    <row r="22" spans="1:10" ht="12.75">
      <c r="A22" s="47" t="s">
        <v>175</v>
      </c>
      <c r="B22" s="43"/>
      <c r="C22" s="43"/>
      <c r="D22" s="137">
        <f>0</f>
        <v>0</v>
      </c>
      <c r="E22" s="44"/>
      <c r="F22" s="79">
        <f>-92</f>
        <v>-92</v>
      </c>
      <c r="G22" s="43"/>
      <c r="H22" s="137">
        <f>D22</f>
        <v>0</v>
      </c>
      <c r="I22" s="44"/>
      <c r="J22" s="45">
        <f>-231+F22</f>
        <v>-323</v>
      </c>
    </row>
    <row r="23" spans="1:10" ht="12.75">
      <c r="A23" s="42" t="s">
        <v>234</v>
      </c>
      <c r="B23" s="43"/>
      <c r="C23" s="43"/>
      <c r="D23" s="137"/>
      <c r="E23" s="44"/>
      <c r="F23" s="79"/>
      <c r="G23" s="43"/>
      <c r="H23" s="137"/>
      <c r="I23" s="44"/>
      <c r="J23" s="45"/>
    </row>
    <row r="24" spans="1:10" ht="12.75">
      <c r="A24" s="42" t="s">
        <v>173</v>
      </c>
      <c r="B24" s="43"/>
      <c r="C24" s="43"/>
      <c r="D24" s="137">
        <f>7060740/1000+5075</f>
        <v>12135.74</v>
      </c>
      <c r="E24" s="44"/>
      <c r="F24" s="79">
        <f>5899</f>
        <v>5899</v>
      </c>
      <c r="G24" s="43"/>
      <c r="H24" s="137">
        <f>-5075+D24</f>
        <v>7060.74</v>
      </c>
      <c r="I24" s="44"/>
      <c r="J24" s="45">
        <f>1326+F24:F25</f>
        <v>7225</v>
      </c>
    </row>
    <row r="25" spans="1:10" ht="12.75">
      <c r="A25" s="42" t="s">
        <v>172</v>
      </c>
      <c r="B25" s="21"/>
      <c r="C25" s="43"/>
      <c r="D25" s="137">
        <f>2658+133+1-(2622+147+10+14)</f>
        <v>-1</v>
      </c>
      <c r="E25" s="44"/>
      <c r="F25" s="108">
        <f>-581</f>
        <v>-581</v>
      </c>
      <c r="G25" s="43"/>
      <c r="H25" s="137">
        <f>2779+D25</f>
        <v>2778</v>
      </c>
      <c r="I25" s="44"/>
      <c r="J25" s="108">
        <f>-847+F25</f>
        <v>-1428</v>
      </c>
    </row>
    <row r="26" spans="1:10" ht="12.75">
      <c r="A26" s="42"/>
      <c r="B26" s="21"/>
      <c r="C26" s="43"/>
      <c r="D26" s="159"/>
      <c r="E26" s="44"/>
      <c r="F26" s="163"/>
      <c r="G26" s="43"/>
      <c r="H26" s="159"/>
      <c r="I26" s="44"/>
      <c r="J26" s="163"/>
    </row>
    <row r="27" spans="1:10" ht="12.75">
      <c r="A27" s="42" t="s">
        <v>235</v>
      </c>
      <c r="B27" s="21"/>
      <c r="C27" s="43"/>
      <c r="D27" s="137"/>
      <c r="E27" s="44"/>
      <c r="F27" s="108"/>
      <c r="G27" s="43"/>
      <c r="H27" s="137"/>
      <c r="I27" s="44"/>
      <c r="J27" s="108"/>
    </row>
    <row r="28" spans="1:10" ht="12.75">
      <c r="A28" s="42" t="s">
        <v>190</v>
      </c>
      <c r="B28" s="21"/>
      <c r="C28" s="43"/>
      <c r="D28" s="138">
        <f>SUM(D22:D25)</f>
        <v>12134.74</v>
      </c>
      <c r="E28" s="44"/>
      <c r="F28" s="164">
        <f>F25+F22+F24</f>
        <v>5226</v>
      </c>
      <c r="G28" s="43"/>
      <c r="H28" s="138">
        <f>SUM(H22:H25)</f>
        <v>9838.74</v>
      </c>
      <c r="I28" s="44"/>
      <c r="J28" s="164">
        <f>J25+J22+J24</f>
        <v>5474</v>
      </c>
    </row>
    <row r="29" spans="1:10" ht="12.75">
      <c r="A29" s="42"/>
      <c r="B29" s="21"/>
      <c r="C29" s="43"/>
      <c r="D29" s="137"/>
      <c r="E29" s="44"/>
      <c r="F29" s="108"/>
      <c r="G29" s="43"/>
      <c r="H29" s="137"/>
      <c r="I29" s="44"/>
      <c r="J29" s="108"/>
    </row>
    <row r="30" spans="1:10" ht="12.75">
      <c r="A30" s="102" t="s">
        <v>236</v>
      </c>
      <c r="B30" s="65"/>
      <c r="C30" s="43"/>
      <c r="D30" s="137"/>
      <c r="E30" s="44"/>
      <c r="F30" s="45"/>
      <c r="G30" s="43"/>
      <c r="H30" s="137"/>
      <c r="I30" s="44"/>
      <c r="J30" s="45"/>
    </row>
    <row r="31" spans="1:10" ht="13.5" thickBot="1">
      <c r="A31" s="102" t="s">
        <v>190</v>
      </c>
      <c r="B31" s="65"/>
      <c r="C31" s="43"/>
      <c r="D31" s="139">
        <f>D28+D18</f>
        <v>32982.65769250531</v>
      </c>
      <c r="E31" s="44"/>
      <c r="F31" s="91">
        <f>F28+F18</f>
        <v>17383</v>
      </c>
      <c r="G31" s="43"/>
      <c r="H31" s="139">
        <f>H28+H18</f>
        <v>10961.657692505309</v>
      </c>
      <c r="I31" s="44"/>
      <c r="J31" s="91">
        <f>J28+J18</f>
        <v>44605</v>
      </c>
    </row>
    <row r="32" spans="1:10" ht="12.75">
      <c r="A32" s="42"/>
      <c r="B32" s="65"/>
      <c r="C32" s="43"/>
      <c r="D32" s="137"/>
      <c r="E32" s="44"/>
      <c r="F32" s="45"/>
      <c r="G32" s="43"/>
      <c r="H32" s="137"/>
      <c r="I32" s="44"/>
      <c r="J32" s="45"/>
    </row>
    <row r="33" spans="1:10" ht="12.75">
      <c r="A33" s="53" t="str">
        <f>'P&amp;L'!A56</f>
        <v>Profit/(loss) attributable to :</v>
      </c>
      <c r="B33" s="43"/>
      <c r="C33" s="43"/>
      <c r="D33" s="137"/>
      <c r="E33" s="44"/>
      <c r="F33" s="45"/>
      <c r="G33" s="43"/>
      <c r="H33" s="137"/>
      <c r="I33" s="44"/>
      <c r="J33" s="45"/>
    </row>
    <row r="34" spans="1:10" ht="12.75">
      <c r="A34" s="53" t="s">
        <v>156</v>
      </c>
      <c r="B34" s="43"/>
      <c r="C34" s="43"/>
      <c r="D34" s="137">
        <f>D37-D35+1</f>
        <v>32832.204383454395</v>
      </c>
      <c r="E34" s="44"/>
      <c r="F34" s="45">
        <f>F37-F35</f>
        <v>17236</v>
      </c>
      <c r="G34" s="43"/>
      <c r="H34" s="137">
        <f>H37-H35+1</f>
        <v>10770.204383454395</v>
      </c>
      <c r="I34" s="44"/>
      <c r="J34" s="45">
        <f>F34+27420</f>
        <v>44656</v>
      </c>
    </row>
    <row r="35" spans="1:10" ht="12.75">
      <c r="A35" s="42" t="s">
        <v>116</v>
      </c>
      <c r="B35" s="43"/>
      <c r="C35" s="43"/>
      <c r="D35" s="137">
        <f>H35-41</f>
        <v>151.45330905091475</v>
      </c>
      <c r="E35" s="44"/>
      <c r="F35" s="45">
        <f>147</f>
        <v>147</v>
      </c>
      <c r="G35" s="43"/>
      <c r="H35" s="137">
        <f>'P&amp;L'!H58+133+1</f>
        <v>192.45330905091475</v>
      </c>
      <c r="I35" s="44"/>
      <c r="J35" s="45">
        <f>-198+F35</f>
        <v>-51</v>
      </c>
    </row>
    <row r="36" spans="1:10" ht="12.75">
      <c r="A36" s="42"/>
      <c r="B36" s="43"/>
      <c r="C36" s="43"/>
      <c r="D36" s="137"/>
      <c r="E36" s="44"/>
      <c r="F36" s="45"/>
      <c r="G36" s="43"/>
      <c r="H36" s="137"/>
      <c r="I36" s="44"/>
      <c r="J36" s="45"/>
    </row>
    <row r="37" spans="1:10" ht="13.5" thickBot="1">
      <c r="A37" s="53"/>
      <c r="B37" s="43"/>
      <c r="C37" s="43"/>
      <c r="D37" s="140">
        <f>D31</f>
        <v>32982.65769250531</v>
      </c>
      <c r="E37" s="49"/>
      <c r="F37" s="61">
        <f>F31</f>
        <v>17383</v>
      </c>
      <c r="G37" s="43"/>
      <c r="H37" s="140">
        <f>H31</f>
        <v>10961.657692505309</v>
      </c>
      <c r="I37" s="49"/>
      <c r="J37" s="61">
        <f>J31</f>
        <v>44605</v>
      </c>
    </row>
    <row r="41" spans="1:10" ht="12.75">
      <c r="A41" s="187" t="s">
        <v>202</v>
      </c>
      <c r="B41" s="187"/>
      <c r="C41" s="187"/>
      <c r="D41" s="187"/>
      <c r="E41" s="187"/>
      <c r="F41" s="187"/>
      <c r="G41" s="187"/>
      <c r="H41" s="187"/>
      <c r="I41" s="187"/>
      <c r="J41" s="187"/>
    </row>
    <row r="42" spans="1:10" ht="12.75">
      <c r="A42" s="184" t="s">
        <v>176</v>
      </c>
      <c r="B42" s="184"/>
      <c r="C42" s="184"/>
      <c r="D42" s="184"/>
      <c r="E42" s="184"/>
      <c r="F42" s="184"/>
      <c r="G42" s="184"/>
      <c r="H42" s="184"/>
      <c r="I42" s="184"/>
      <c r="J42" s="184"/>
    </row>
  </sheetData>
  <mergeCells count="7">
    <mergeCell ref="A41:J41"/>
    <mergeCell ref="A42:J42"/>
    <mergeCell ref="A1:J1"/>
    <mergeCell ref="A2:J2"/>
    <mergeCell ref="A3:J3"/>
    <mergeCell ref="D10:F10"/>
    <mergeCell ref="H10:J10"/>
  </mergeCells>
  <printOptions/>
  <pageMargins left="0.75" right="0.23" top="1" bottom="1" header="0.5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7"/>
  <sheetViews>
    <sheetView zoomScale="80" zoomScaleNormal="80" workbookViewId="0" topLeftCell="A23">
      <selection activeCell="D49" sqref="D49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88" t="s">
        <v>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2.75">
      <c r="A3" s="189" t="s">
        <v>19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.75">
      <c r="A4" s="189" t="s">
        <v>20</v>
      </c>
      <c r="B4" s="189"/>
      <c r="C4" s="189"/>
      <c r="D4" s="189"/>
      <c r="E4" s="189"/>
      <c r="F4" s="189"/>
      <c r="G4" s="189"/>
      <c r="H4" s="189"/>
      <c r="I4" s="189"/>
      <c r="J4" s="189"/>
    </row>
    <row r="6" spans="1:10" ht="12.75">
      <c r="A6" s="95" t="s">
        <v>204</v>
      </c>
      <c r="J6" s="97"/>
    </row>
    <row r="7" spans="1:10" ht="12.75">
      <c r="A7" s="34"/>
      <c r="J7" s="105"/>
    </row>
    <row r="8" ht="12.75">
      <c r="A8" s="73" t="s">
        <v>53</v>
      </c>
    </row>
    <row r="9" ht="12.75">
      <c r="A9" s="34" t="s">
        <v>21</v>
      </c>
    </row>
    <row r="10" ht="12.75">
      <c r="A10" s="34" t="s">
        <v>22</v>
      </c>
    </row>
    <row r="11" ht="12.75">
      <c r="A11" s="34" t="s">
        <v>23</v>
      </c>
    </row>
    <row r="12" ht="12.75">
      <c r="A12" s="32"/>
    </row>
    <row r="13" spans="1:10" ht="13.5" thickBot="1">
      <c r="A13" s="54" t="s">
        <v>205</v>
      </c>
      <c r="B13" s="20"/>
      <c r="C13" s="20"/>
      <c r="D13" s="20"/>
      <c r="E13" s="20"/>
      <c r="F13" s="20"/>
      <c r="G13" s="20"/>
      <c r="H13" s="33"/>
      <c r="I13" s="33"/>
      <c r="J13" s="20"/>
    </row>
    <row r="14" spans="1:9" ht="12.75">
      <c r="A14" s="4"/>
      <c r="H14" s="4"/>
      <c r="I14" s="4"/>
    </row>
    <row r="15" spans="1:9" ht="12.75">
      <c r="A15" s="27" t="s">
        <v>203</v>
      </c>
      <c r="B15" s="4"/>
      <c r="C15" s="4"/>
      <c r="D15" s="4"/>
      <c r="E15" s="4"/>
      <c r="F15" s="4"/>
      <c r="G15" s="4"/>
      <c r="H15" s="4"/>
      <c r="I15" s="4"/>
    </row>
    <row r="16" spans="1:10" ht="12.75">
      <c r="A16" s="27"/>
      <c r="B16" s="4"/>
      <c r="C16" s="4"/>
      <c r="D16" s="4"/>
      <c r="E16" s="4"/>
      <c r="F16" s="21"/>
      <c r="G16" s="21"/>
      <c r="H16" s="21"/>
      <c r="I16" s="21"/>
      <c r="J16" s="77"/>
    </row>
    <row r="17" spans="1:10" ht="12.75">
      <c r="A17" s="4"/>
      <c r="B17" s="4"/>
      <c r="C17" s="4"/>
      <c r="D17" s="4"/>
      <c r="E17" s="4"/>
      <c r="F17" s="177"/>
      <c r="G17" s="4"/>
      <c r="H17" s="4"/>
      <c r="I17" s="4"/>
      <c r="J17" s="177"/>
    </row>
    <row r="18" spans="1:10" ht="12.75">
      <c r="A18" s="4"/>
      <c r="B18" s="4"/>
      <c r="C18" s="4"/>
      <c r="D18" s="190" t="s">
        <v>46</v>
      </c>
      <c r="E18" s="191"/>
      <c r="F18" s="192"/>
      <c r="G18" s="17"/>
      <c r="H18" s="193" t="s">
        <v>8</v>
      </c>
      <c r="I18" s="194"/>
      <c r="J18" s="195"/>
    </row>
    <row r="19" spans="1:15" ht="12.75">
      <c r="A19" s="4"/>
      <c r="B19" s="4"/>
      <c r="C19" s="4"/>
      <c r="D19" s="133" t="s">
        <v>171</v>
      </c>
      <c r="E19" s="16"/>
      <c r="F19" s="58" t="s">
        <v>122</v>
      </c>
      <c r="G19" s="21"/>
      <c r="H19" s="133" t="s">
        <v>171</v>
      </c>
      <c r="I19" s="16"/>
      <c r="J19" s="58" t="s">
        <v>122</v>
      </c>
      <c r="L19" s="66"/>
      <c r="M19" s="66"/>
      <c r="N19" s="66"/>
      <c r="O19" s="99"/>
    </row>
    <row r="20" spans="1:10" ht="12.75">
      <c r="A20" s="4"/>
      <c r="B20" s="4"/>
      <c r="C20" s="4"/>
      <c r="D20" s="134" t="s">
        <v>98</v>
      </c>
      <c r="E20" s="16"/>
      <c r="F20" s="58" t="s">
        <v>18</v>
      </c>
      <c r="G20" s="21"/>
      <c r="H20" s="134" t="s">
        <v>170</v>
      </c>
      <c r="I20" s="16"/>
      <c r="J20" s="74" t="s">
        <v>54</v>
      </c>
    </row>
    <row r="21" spans="1:10" ht="12.75">
      <c r="A21" s="4"/>
      <c r="B21" s="4"/>
      <c r="C21" s="4"/>
      <c r="D21" s="134" t="s">
        <v>16</v>
      </c>
      <c r="E21" s="16"/>
      <c r="F21" s="74" t="s">
        <v>100</v>
      </c>
      <c r="G21" s="21"/>
      <c r="H21" s="133" t="s">
        <v>15</v>
      </c>
      <c r="I21" s="16"/>
      <c r="J21" s="74" t="s">
        <v>169</v>
      </c>
    </row>
    <row r="22" spans="1:10" ht="12.75">
      <c r="A22" s="4"/>
      <c r="B22" s="4"/>
      <c r="C22" s="4"/>
      <c r="D22" s="135">
        <v>40908</v>
      </c>
      <c r="E22" s="18"/>
      <c r="F22" s="75">
        <v>40543</v>
      </c>
      <c r="G22" s="22"/>
      <c r="H22" s="135">
        <f>D22</f>
        <v>40908</v>
      </c>
      <c r="I22" s="63"/>
      <c r="J22" s="59">
        <f>F22</f>
        <v>40543</v>
      </c>
    </row>
    <row r="23" spans="1:10" ht="12.75">
      <c r="A23" s="4"/>
      <c r="B23" s="21" t="s">
        <v>107</v>
      </c>
      <c r="C23" s="4"/>
      <c r="D23" s="133" t="s">
        <v>5</v>
      </c>
      <c r="E23" s="18"/>
      <c r="F23" s="58" t="s">
        <v>5</v>
      </c>
      <c r="G23" s="21"/>
      <c r="H23" s="133" t="s">
        <v>6</v>
      </c>
      <c r="I23" s="16"/>
      <c r="J23" s="58" t="s">
        <v>6</v>
      </c>
    </row>
    <row r="24" spans="4:10" ht="12.75">
      <c r="D24" s="136"/>
      <c r="E24" s="18"/>
      <c r="F24" s="60"/>
      <c r="H24" s="136"/>
      <c r="I24" s="18"/>
      <c r="J24" s="60"/>
    </row>
    <row r="25" spans="1:18" ht="12.75">
      <c r="A25" s="42" t="s">
        <v>17</v>
      </c>
      <c r="B25" s="43"/>
      <c r="C25" s="43"/>
      <c r="D25" s="137">
        <f>H25-73505</f>
        <v>49284.743885886535</v>
      </c>
      <c r="E25" s="44"/>
      <c r="F25" s="79">
        <f>45480</f>
        <v>45480</v>
      </c>
      <c r="G25" s="43"/>
      <c r="H25" s="137">
        <f>'[2]M-GER95A.XLS'!$X$186</f>
        <v>122789.74388588654</v>
      </c>
      <c r="I25" s="44"/>
      <c r="J25" s="76">
        <f>F25+75865</f>
        <v>121345</v>
      </c>
      <c r="K25" s="46"/>
      <c r="P25" s="46"/>
      <c r="Q25" s="46"/>
      <c r="R25" s="46"/>
    </row>
    <row r="26" spans="1:18" ht="12.75">
      <c r="A26" s="42"/>
      <c r="B26" s="43"/>
      <c r="C26" s="43"/>
      <c r="D26" s="137"/>
      <c r="E26" s="44"/>
      <c r="F26" s="79"/>
      <c r="G26" s="43"/>
      <c r="H26" s="137"/>
      <c r="I26" s="44"/>
      <c r="J26" s="45"/>
      <c r="K26" s="46"/>
      <c r="P26" s="46"/>
      <c r="Q26" s="46"/>
      <c r="R26" s="46"/>
    </row>
    <row r="27" spans="1:18" ht="12.75">
      <c r="A27" s="42" t="s">
        <v>67</v>
      </c>
      <c r="B27" s="43"/>
      <c r="C27" s="43"/>
      <c r="D27" s="137">
        <f>H27+57722</f>
        <v>-38198.29332110223</v>
      </c>
      <c r="E27" s="44"/>
      <c r="F27" s="79">
        <f>-34471</f>
        <v>-34471</v>
      </c>
      <c r="G27" s="43"/>
      <c r="H27" s="137">
        <f>-'[2]M-GER95A.XLS'!$S$694-'[2]M-GER95A.XLS'!$S$705-'[2]M-GER95A.XLS'!$S$706</f>
        <v>-95920.29332110223</v>
      </c>
      <c r="I27" s="44"/>
      <c r="J27" s="45">
        <f>F27-62075</f>
        <v>-96546</v>
      </c>
      <c r="K27" s="46"/>
      <c r="P27" s="46"/>
      <c r="Q27" s="46"/>
      <c r="R27" s="46"/>
    </row>
    <row r="28" spans="1:18" ht="12.75">
      <c r="A28" s="42"/>
      <c r="B28" s="43"/>
      <c r="C28" s="43"/>
      <c r="D28" s="137"/>
      <c r="E28" s="44"/>
      <c r="F28" s="79"/>
      <c r="G28" s="43"/>
      <c r="H28" s="137"/>
      <c r="I28" s="44"/>
      <c r="J28" s="45"/>
      <c r="K28" s="46"/>
      <c r="P28" s="46"/>
      <c r="Q28" s="46"/>
      <c r="R28" s="46"/>
    </row>
    <row r="29" spans="1:18" ht="12.75">
      <c r="A29" s="42" t="s">
        <v>68</v>
      </c>
      <c r="B29" s="21"/>
      <c r="C29" s="43"/>
      <c r="D29" s="137">
        <f>H29+6103</f>
        <v>-3370.0471580370013</v>
      </c>
      <c r="E29" s="44"/>
      <c r="F29" s="108">
        <f>-5226</f>
        <v>-5226</v>
      </c>
      <c r="G29" s="43"/>
      <c r="H29" s="137">
        <f>-'[2]M-GER95A.XLS'!$S$708</f>
        <v>-9473.047158037001</v>
      </c>
      <c r="I29" s="44"/>
      <c r="J29" s="108">
        <f>F29-8210</f>
        <v>-13436</v>
      </c>
      <c r="K29" s="46"/>
      <c r="P29" s="46"/>
      <c r="Q29" s="46"/>
      <c r="R29" s="46"/>
    </row>
    <row r="30" spans="1:18" ht="12.75">
      <c r="A30" s="42"/>
      <c r="B30" s="21"/>
      <c r="C30" s="43"/>
      <c r="D30" s="137"/>
      <c r="E30" s="44"/>
      <c r="F30" s="108"/>
      <c r="G30" s="43"/>
      <c r="H30" s="137"/>
      <c r="I30" s="44"/>
      <c r="J30" s="108"/>
      <c r="K30" s="46"/>
      <c r="P30" s="46"/>
      <c r="Q30" s="46"/>
      <c r="R30" s="46"/>
    </row>
    <row r="31" spans="1:18" ht="12.75">
      <c r="A31" s="53" t="s">
        <v>69</v>
      </c>
      <c r="B31" s="21">
        <v>1</v>
      </c>
      <c r="C31" s="43"/>
      <c r="D31" s="137">
        <f>H31+34500</f>
        <v>-8468.683619493</v>
      </c>
      <c r="E31" s="44"/>
      <c r="F31" s="108">
        <f>-9988</f>
        <v>-9988</v>
      </c>
      <c r="G31" s="43"/>
      <c r="H31" s="137">
        <f>-'[2]M-GER95A.XLS'!$S$712+1</f>
        <v>-42968.683619493</v>
      </c>
      <c r="I31" s="44"/>
      <c r="J31" s="108">
        <f>F31-11692</f>
        <v>-21680</v>
      </c>
      <c r="K31" s="46"/>
      <c r="P31" s="46"/>
      <c r="Q31" s="46"/>
      <c r="R31" s="46"/>
    </row>
    <row r="32" spans="1:18" ht="12.75">
      <c r="A32" s="53"/>
      <c r="B32" s="21"/>
      <c r="C32" s="43"/>
      <c r="D32" s="137"/>
      <c r="E32" s="44"/>
      <c r="F32" s="45"/>
      <c r="G32" s="43"/>
      <c r="H32" s="137"/>
      <c r="I32" s="44"/>
      <c r="J32" s="45"/>
      <c r="K32" s="46"/>
      <c r="P32" s="46"/>
      <c r="Q32" s="46"/>
      <c r="R32" s="46"/>
    </row>
    <row r="33" spans="1:18" ht="12.75">
      <c r="A33" s="42" t="s">
        <v>94</v>
      </c>
      <c r="B33" s="21">
        <v>2</v>
      </c>
      <c r="D33" s="137">
        <f>H33-8359</f>
        <v>10594.522099251</v>
      </c>
      <c r="E33" s="44"/>
      <c r="F33" s="45">
        <f>14095</f>
        <v>14095</v>
      </c>
      <c r="G33" s="43"/>
      <c r="H33" s="137">
        <f>'[2]M-GER95A.XLS'!$Q$613</f>
        <v>18953.522099251</v>
      </c>
      <c r="I33" s="44"/>
      <c r="J33" s="45">
        <f>F33+32549</f>
        <v>46644</v>
      </c>
      <c r="K33" s="46"/>
      <c r="P33" s="46"/>
      <c r="Q33" s="46"/>
      <c r="R33" s="46"/>
    </row>
    <row r="34" spans="1:18" ht="12.75">
      <c r="A34" s="42"/>
      <c r="B34" s="21"/>
      <c r="C34" s="43"/>
      <c r="D34" s="137"/>
      <c r="E34" s="44"/>
      <c r="F34" s="45"/>
      <c r="G34" s="43"/>
      <c r="H34" s="137"/>
      <c r="I34" s="44"/>
      <c r="J34" s="45"/>
      <c r="K34" s="46"/>
      <c r="P34" s="46"/>
      <c r="Q34" s="46"/>
      <c r="R34" s="46"/>
    </row>
    <row r="35" spans="1:18" ht="12.75">
      <c r="A35" s="42" t="s">
        <v>34</v>
      </c>
      <c r="B35" s="21"/>
      <c r="C35" s="65"/>
      <c r="D35" s="137">
        <f>H35+1870</f>
        <v>-2385.8620500000034</v>
      </c>
      <c r="E35" s="44"/>
      <c r="F35" s="45">
        <f>-1240</f>
        <v>-1240</v>
      </c>
      <c r="G35" s="43"/>
      <c r="H35" s="137">
        <f>-'[2]M-GER95A.XLS'!$S$718</f>
        <v>-4255.862050000003</v>
      </c>
      <c r="I35" s="44"/>
      <c r="J35" s="45">
        <f>F35-1124</f>
        <v>-2364</v>
      </c>
      <c r="K35" s="46"/>
      <c r="P35" s="46"/>
      <c r="Q35" s="46"/>
      <c r="R35" s="46"/>
    </row>
    <row r="36" spans="1:18" ht="12.75">
      <c r="A36" s="42"/>
      <c r="B36" s="21"/>
      <c r="C36" s="65"/>
      <c r="D36" s="137"/>
      <c r="E36" s="44"/>
      <c r="F36" s="45"/>
      <c r="G36" s="43"/>
      <c r="H36" s="137"/>
      <c r="I36" s="44"/>
      <c r="J36" s="45"/>
      <c r="K36" s="46"/>
      <c r="P36" s="46"/>
      <c r="Q36" s="46"/>
      <c r="R36" s="46"/>
    </row>
    <row r="37" spans="1:18" ht="12.75">
      <c r="A37" s="53" t="s">
        <v>82</v>
      </c>
      <c r="B37" s="21">
        <v>3</v>
      </c>
      <c r="C37" s="65"/>
      <c r="D37" s="166">
        <f>H37-5112</f>
        <v>9151.217075443812</v>
      </c>
      <c r="E37" s="44"/>
      <c r="F37" s="45">
        <f>0</f>
        <v>0</v>
      </c>
      <c r="G37" s="43"/>
      <c r="H37" s="137">
        <f>'[2]M-GER95A.XLS'!$X$246</f>
        <v>14263.217075443812</v>
      </c>
      <c r="I37" s="44"/>
      <c r="J37" s="76">
        <f>F37+285</f>
        <v>285</v>
      </c>
      <c r="K37" s="46"/>
      <c r="P37" s="46"/>
      <c r="Q37" s="46"/>
      <c r="R37" s="46"/>
    </row>
    <row r="38" spans="1:18" ht="12.75">
      <c r="A38" s="42"/>
      <c r="B38" s="65"/>
      <c r="C38" s="43"/>
      <c r="D38" s="137"/>
      <c r="E38" s="44"/>
      <c r="F38" s="45"/>
      <c r="G38" s="43"/>
      <c r="H38" s="137"/>
      <c r="I38" s="44"/>
      <c r="J38" s="45"/>
      <c r="K38" s="46"/>
      <c r="P38" s="46"/>
      <c r="Q38" s="46"/>
      <c r="R38" s="46"/>
    </row>
    <row r="39" spans="1:18" ht="12.75">
      <c r="A39" s="53" t="s">
        <v>91</v>
      </c>
      <c r="B39" s="65"/>
      <c r="C39" s="43"/>
      <c r="D39" s="137"/>
      <c r="E39" s="44"/>
      <c r="F39" s="45"/>
      <c r="G39" s="43"/>
      <c r="H39" s="137"/>
      <c r="I39" s="44"/>
      <c r="J39" s="45"/>
      <c r="K39" s="46"/>
      <c r="P39" s="46"/>
      <c r="Q39" s="46"/>
      <c r="R39" s="46"/>
    </row>
    <row r="40" spans="1:18" ht="12.75">
      <c r="A40" s="53" t="s">
        <v>92</v>
      </c>
      <c r="B40" s="65"/>
      <c r="C40" s="43"/>
      <c r="D40" s="137">
        <f>H40+5648</f>
        <v>5317.564594556196</v>
      </c>
      <c r="E40" s="44"/>
      <c r="F40" s="45">
        <f>4097</f>
        <v>4097</v>
      </c>
      <c r="G40" s="43"/>
      <c r="H40" s="137">
        <f>'[2]M-GER95A.XLS'!$X$247</f>
        <v>-330.4354054438036</v>
      </c>
      <c r="I40" s="44"/>
      <c r="J40" s="45">
        <f>F40+1721</f>
        <v>5818</v>
      </c>
      <c r="K40" s="46"/>
      <c r="P40" s="46"/>
      <c r="Q40" s="46"/>
      <c r="R40" s="46"/>
    </row>
    <row r="41" spans="1:18" ht="12.75">
      <c r="A41" s="53"/>
      <c r="B41" s="65"/>
      <c r="C41" s="43"/>
      <c r="D41" s="137"/>
      <c r="E41" s="44"/>
      <c r="F41" s="45"/>
      <c r="G41" s="43"/>
      <c r="H41" s="137"/>
      <c r="I41" s="44"/>
      <c r="J41" s="45"/>
      <c r="K41" s="46"/>
      <c r="P41" s="46"/>
      <c r="Q41" s="46"/>
      <c r="R41" s="46"/>
    </row>
    <row r="42" spans="1:18" ht="12.75">
      <c r="A42" s="102" t="s">
        <v>91</v>
      </c>
      <c r="B42" s="65"/>
      <c r="C42" s="43"/>
      <c r="D42" s="137"/>
      <c r="E42" s="44"/>
      <c r="F42" s="45"/>
      <c r="G42" s="43"/>
      <c r="H42" s="137"/>
      <c r="I42" s="44"/>
      <c r="J42" s="45"/>
      <c r="K42" s="46"/>
      <c r="P42" s="46"/>
      <c r="Q42" s="46"/>
      <c r="R42" s="46"/>
    </row>
    <row r="43" spans="1:18" ht="12.75">
      <c r="A43" s="102" t="s">
        <v>109</v>
      </c>
      <c r="B43" s="65"/>
      <c r="C43" s="43"/>
      <c r="D43" s="138">
        <f>H43-72</f>
        <v>125.86828600000001</v>
      </c>
      <c r="E43" s="44"/>
      <c r="F43" s="48">
        <f>169</f>
        <v>169</v>
      </c>
      <c r="G43" s="43"/>
      <c r="H43" s="138">
        <f>'[2]M-GER95A.XLS'!$X$249</f>
        <v>197.868286</v>
      </c>
      <c r="I43" s="44"/>
      <c r="J43" s="48">
        <f>F43-25</f>
        <v>144</v>
      </c>
      <c r="K43" s="46"/>
      <c r="P43" s="46"/>
      <c r="Q43" s="46"/>
      <c r="R43" s="46"/>
    </row>
    <row r="44" spans="1:18" ht="12.75">
      <c r="A44" s="42"/>
      <c r="B44" s="65"/>
      <c r="C44" s="43"/>
      <c r="D44" s="137"/>
      <c r="E44" s="44"/>
      <c r="F44" s="45"/>
      <c r="G44" s="43"/>
      <c r="H44" s="137"/>
      <c r="I44" s="44"/>
      <c r="J44" s="45"/>
      <c r="K44" s="46"/>
      <c r="P44" s="46"/>
      <c r="Q44" s="46"/>
      <c r="R44" s="46"/>
    </row>
    <row r="45" spans="1:18" ht="12.75">
      <c r="A45" s="53" t="s">
        <v>231</v>
      </c>
      <c r="B45" s="72"/>
      <c r="C45" s="43"/>
      <c r="D45" s="137">
        <f>SUM(D25:D44)+1</f>
        <v>22052.02979250531</v>
      </c>
      <c r="E45" s="44"/>
      <c r="F45" s="45">
        <f>SUM(F25:F43)</f>
        <v>12916</v>
      </c>
      <c r="G45" s="43"/>
      <c r="H45" s="137">
        <f>SUM(H25:H44)+1</f>
        <v>3257.029792505309</v>
      </c>
      <c r="I45" s="44"/>
      <c r="J45" s="45">
        <f>SUM(J25:J43)</f>
        <v>40210</v>
      </c>
      <c r="K45" s="46"/>
      <c r="P45" s="46"/>
      <c r="Q45" s="46"/>
      <c r="R45" s="46"/>
    </row>
    <row r="46" spans="1:18" ht="12.75">
      <c r="A46" s="42"/>
      <c r="B46" s="65"/>
      <c r="C46" s="43"/>
      <c r="D46" s="137"/>
      <c r="E46" s="44"/>
      <c r="F46" s="45"/>
      <c r="G46" s="43"/>
      <c r="H46" s="137"/>
      <c r="I46" s="44"/>
      <c r="J46" s="45"/>
      <c r="K46" s="46"/>
      <c r="P46" s="46"/>
      <c r="Q46" s="46"/>
      <c r="R46" s="46"/>
    </row>
    <row r="47" spans="1:18" ht="12.75">
      <c r="A47" s="42" t="s">
        <v>4</v>
      </c>
      <c r="B47" s="65"/>
      <c r="C47" s="43"/>
      <c r="D47" s="138">
        <f>H47+930</f>
        <v>-1204.1120999999998</v>
      </c>
      <c r="E47" s="44"/>
      <c r="F47" s="48">
        <f>-759</f>
        <v>-759</v>
      </c>
      <c r="G47" s="43"/>
      <c r="H47" s="138">
        <f>'[2]M-GER95A.XLS'!$X$251</f>
        <v>-2134.1121</v>
      </c>
      <c r="I47" s="44"/>
      <c r="J47" s="48">
        <f>F47-320</f>
        <v>-1079</v>
      </c>
      <c r="K47" s="46"/>
      <c r="P47" s="46"/>
      <c r="Q47" s="46"/>
      <c r="R47" s="46"/>
    </row>
    <row r="48" spans="1:18" ht="12.75">
      <c r="A48" s="42"/>
      <c r="B48" s="65"/>
      <c r="C48" s="43"/>
      <c r="D48" s="137"/>
      <c r="E48" s="44"/>
      <c r="F48" s="45"/>
      <c r="G48" s="43"/>
      <c r="H48" s="137"/>
      <c r="I48" s="44"/>
      <c r="J48" s="45"/>
      <c r="K48" s="46"/>
      <c r="P48" s="46"/>
      <c r="Q48" s="46"/>
      <c r="R48" s="46"/>
    </row>
    <row r="49" spans="1:18" ht="13.5" thickBot="1">
      <c r="A49" s="53" t="s">
        <v>229</v>
      </c>
      <c r="B49" s="65"/>
      <c r="C49" s="43"/>
      <c r="D49" s="139">
        <f>SUM(D45:D47)</f>
        <v>20847.91769250531</v>
      </c>
      <c r="E49" s="44"/>
      <c r="F49" s="91">
        <f>SUM(F45:F47)</f>
        <v>12157</v>
      </c>
      <c r="G49" s="43"/>
      <c r="H49" s="139">
        <f>SUM(H45:H47)</f>
        <v>1122.9176925053093</v>
      </c>
      <c r="I49" s="44"/>
      <c r="J49" s="91">
        <f>SUM(J45:J47)</f>
        <v>39131</v>
      </c>
      <c r="K49" s="46"/>
      <c r="P49" s="46"/>
      <c r="Q49" s="46"/>
      <c r="R49" s="46"/>
    </row>
    <row r="50" spans="1:18" ht="12.75" hidden="1">
      <c r="A50" s="53"/>
      <c r="B50" s="65"/>
      <c r="C50" s="43"/>
      <c r="D50" s="137"/>
      <c r="E50" s="44"/>
      <c r="F50" s="45"/>
      <c r="G50" s="43"/>
      <c r="H50" s="137"/>
      <c r="I50" s="44"/>
      <c r="J50" s="45"/>
      <c r="K50" s="46"/>
      <c r="P50" s="46"/>
      <c r="Q50" s="46"/>
      <c r="R50" s="46"/>
    </row>
    <row r="51" spans="1:18" ht="12.75" hidden="1">
      <c r="A51" s="102" t="s">
        <v>124</v>
      </c>
      <c r="B51" s="65"/>
      <c r="C51" s="43"/>
      <c r="D51" s="137">
        <v>0</v>
      </c>
      <c r="E51" s="44"/>
      <c r="F51" s="45">
        <v>0</v>
      </c>
      <c r="G51" s="43"/>
      <c r="H51" s="137">
        <v>0</v>
      </c>
      <c r="I51" s="44"/>
      <c r="J51" s="45">
        <v>0</v>
      </c>
      <c r="K51" s="46"/>
      <c r="P51" s="46"/>
      <c r="Q51" s="46"/>
      <c r="R51" s="46"/>
    </row>
    <row r="52" spans="1:18" ht="12.75" hidden="1">
      <c r="A52" s="102"/>
      <c r="B52" s="65"/>
      <c r="C52" s="43"/>
      <c r="D52" s="137"/>
      <c r="E52" s="44"/>
      <c r="F52" s="45"/>
      <c r="G52" s="43"/>
      <c r="H52" s="137"/>
      <c r="I52" s="44"/>
      <c r="J52" s="45"/>
      <c r="K52" s="46"/>
      <c r="P52" s="46"/>
      <c r="Q52" s="46"/>
      <c r="R52" s="46"/>
    </row>
    <row r="53" spans="1:18" ht="12.75" hidden="1">
      <c r="A53" s="102" t="s">
        <v>125</v>
      </c>
      <c r="B53" s="65"/>
      <c r="C53" s="43"/>
      <c r="D53" s="159"/>
      <c r="E53" s="44"/>
      <c r="F53" s="160"/>
      <c r="G53" s="43"/>
      <c r="H53" s="159"/>
      <c r="I53" s="44"/>
      <c r="J53" s="160"/>
      <c r="K53" s="46"/>
      <c r="P53" s="46"/>
      <c r="Q53" s="46"/>
      <c r="R53" s="46"/>
    </row>
    <row r="54" spans="1:18" ht="13.5" hidden="1" thickBot="1">
      <c r="A54" s="102" t="s">
        <v>126</v>
      </c>
      <c r="B54" s="65"/>
      <c r="C54" s="43"/>
      <c r="D54" s="139">
        <f>SUM(D48:D52)</f>
        <v>20847.91769250531</v>
      </c>
      <c r="E54" s="44"/>
      <c r="F54" s="91">
        <f>SUM(F49:F52)</f>
        <v>12157</v>
      </c>
      <c r="G54" s="43"/>
      <c r="H54" s="139">
        <f>SUM(H49:H52)</f>
        <v>1122.9176925053093</v>
      </c>
      <c r="I54" s="44"/>
      <c r="J54" s="91">
        <f>SUM(J49:J52)</f>
        <v>39131</v>
      </c>
      <c r="K54" s="46"/>
      <c r="P54" s="46"/>
      <c r="Q54" s="46"/>
      <c r="R54" s="46"/>
    </row>
    <row r="55" spans="1:18" ht="12.75">
      <c r="A55" s="42"/>
      <c r="B55" s="65"/>
      <c r="C55" s="43"/>
      <c r="D55" s="137"/>
      <c r="E55" s="44"/>
      <c r="F55" s="45"/>
      <c r="G55" s="43"/>
      <c r="H55" s="137"/>
      <c r="I55" s="44"/>
      <c r="J55" s="45"/>
      <c r="K55" s="46"/>
      <c r="P55" s="46"/>
      <c r="Q55" s="46"/>
      <c r="R55" s="46"/>
    </row>
    <row r="56" spans="1:18" ht="12.75">
      <c r="A56" s="53" t="s">
        <v>230</v>
      </c>
      <c r="B56" s="43"/>
      <c r="C56" s="43"/>
      <c r="D56" s="137"/>
      <c r="E56" s="44"/>
      <c r="F56" s="45"/>
      <c r="G56" s="43"/>
      <c r="H56" s="137"/>
      <c r="I56" s="44"/>
      <c r="J56" s="45"/>
      <c r="K56" s="46"/>
      <c r="P56" s="46"/>
      <c r="Q56" s="46"/>
      <c r="R56" s="46"/>
    </row>
    <row r="57" spans="1:18" ht="12.75">
      <c r="A57" s="53" t="s">
        <v>156</v>
      </c>
      <c r="B57" s="43"/>
      <c r="C57" s="43"/>
      <c r="D57" s="137">
        <f>H57+19619</f>
        <v>20684.464383454393</v>
      </c>
      <c r="E57" s="44"/>
      <c r="F57" s="45">
        <f>12042</f>
        <v>12042</v>
      </c>
      <c r="G57" s="43"/>
      <c r="H57" s="137">
        <f>H60-H58+1</f>
        <v>1065.4643834543945</v>
      </c>
      <c r="I57" s="44"/>
      <c r="J57" s="45">
        <f>27019+F57</f>
        <v>39061</v>
      </c>
      <c r="K57" s="46"/>
      <c r="P57" s="46"/>
      <c r="Q57" s="46"/>
      <c r="R57" s="46"/>
    </row>
    <row r="58" spans="1:18" ht="12.75">
      <c r="A58" s="42" t="s">
        <v>116</v>
      </c>
      <c r="B58" s="43"/>
      <c r="C58" s="43"/>
      <c r="D58" s="137">
        <f>H58+106</f>
        <v>164.45330905091475</v>
      </c>
      <c r="E58" s="44"/>
      <c r="F58" s="45">
        <f>115</f>
        <v>115</v>
      </c>
      <c r="G58" s="43"/>
      <c r="H58" s="137">
        <f>-'[2]M-GER95A.XLS'!$X$259</f>
        <v>58.453309050914754</v>
      </c>
      <c r="I58" s="44"/>
      <c r="J58" s="45">
        <f>F58-45</f>
        <v>70</v>
      </c>
      <c r="K58" s="46"/>
      <c r="P58" s="46"/>
      <c r="Q58" s="46"/>
      <c r="R58" s="46"/>
    </row>
    <row r="59" spans="1:18" ht="12.75">
      <c r="A59" s="42"/>
      <c r="B59" s="43"/>
      <c r="C59" s="43"/>
      <c r="D59" s="137"/>
      <c r="E59" s="44"/>
      <c r="F59" s="45"/>
      <c r="G59" s="43"/>
      <c r="H59" s="137"/>
      <c r="I59" s="44"/>
      <c r="J59" s="45"/>
      <c r="K59" s="46"/>
      <c r="P59" s="46"/>
      <c r="Q59" s="46"/>
      <c r="R59" s="46"/>
    </row>
    <row r="60" spans="1:18" ht="13.5" thickBot="1">
      <c r="A60" s="53"/>
      <c r="B60" s="43"/>
      <c r="C60" s="43"/>
      <c r="D60" s="140">
        <f>D54</f>
        <v>20847.91769250531</v>
      </c>
      <c r="E60" s="44"/>
      <c r="F60" s="61">
        <f>SUM(F57:F59)</f>
        <v>12157</v>
      </c>
      <c r="G60" s="43"/>
      <c r="H60" s="140">
        <f>H54</f>
        <v>1122.9176925053093</v>
      </c>
      <c r="I60" s="44"/>
      <c r="J60" s="61">
        <f>J58+J57</f>
        <v>39131</v>
      </c>
      <c r="K60" s="46"/>
      <c r="P60" s="46"/>
      <c r="Q60" s="46"/>
      <c r="R60" s="46"/>
    </row>
    <row r="61" spans="1:18" ht="12.75">
      <c r="A61" s="42"/>
      <c r="B61" s="43"/>
      <c r="C61" s="43"/>
      <c r="D61" s="137"/>
      <c r="E61" s="44"/>
      <c r="F61" s="45"/>
      <c r="G61" s="43"/>
      <c r="H61" s="137"/>
      <c r="I61" s="44"/>
      <c r="J61" s="45"/>
      <c r="P61" s="46"/>
      <c r="Q61" s="46"/>
      <c r="R61" s="46"/>
    </row>
    <row r="62" spans="1:18" ht="12.75">
      <c r="A62" s="102" t="s">
        <v>177</v>
      </c>
      <c r="B62" s="43"/>
      <c r="C62" s="43"/>
      <c r="D62" s="137"/>
      <c r="E62" s="44"/>
      <c r="F62" s="45"/>
      <c r="G62" s="43"/>
      <c r="H62" s="137"/>
      <c r="I62" s="44"/>
      <c r="J62" s="62"/>
      <c r="K62" s="46"/>
      <c r="P62" s="46"/>
      <c r="Q62" s="46"/>
      <c r="R62" s="46"/>
    </row>
    <row r="63" spans="1:18" ht="12.75">
      <c r="A63" s="47" t="s">
        <v>24</v>
      </c>
      <c r="B63" s="43"/>
      <c r="C63" s="43"/>
      <c r="D63" s="141">
        <f>H63+2.88</f>
        <v>3.036631331101892</v>
      </c>
      <c r="E63" s="44"/>
      <c r="F63" s="100">
        <f>1.76</f>
        <v>1.76</v>
      </c>
      <c r="G63" s="43"/>
      <c r="H63" s="148">
        <f>'[4]Dec2011'!$C$46</f>
        <v>0.15663133110189206</v>
      </c>
      <c r="I63" s="44"/>
      <c r="J63" s="94">
        <f>F63+3.93</f>
        <v>5.69</v>
      </c>
      <c r="K63" s="46"/>
      <c r="P63" s="46"/>
      <c r="Q63" s="46"/>
      <c r="R63" s="46"/>
    </row>
    <row r="64" spans="1:18" ht="12.75">
      <c r="A64" s="47" t="s">
        <v>25</v>
      </c>
      <c r="B64" s="43"/>
      <c r="C64" s="43"/>
      <c r="D64" s="142" t="s">
        <v>108</v>
      </c>
      <c r="E64" s="44"/>
      <c r="F64" s="153" t="s">
        <v>108</v>
      </c>
      <c r="G64" s="43"/>
      <c r="H64" s="149" t="s">
        <v>108</v>
      </c>
      <c r="I64" s="44"/>
      <c r="J64" s="153" t="s">
        <v>108</v>
      </c>
      <c r="K64" s="46"/>
      <c r="P64" s="46"/>
      <c r="Q64" s="46"/>
      <c r="R64" s="46"/>
    </row>
    <row r="65" spans="1:18" ht="12.75">
      <c r="A65" s="42"/>
      <c r="B65" s="43"/>
      <c r="C65" s="43"/>
      <c r="D65" s="138"/>
      <c r="E65" s="49"/>
      <c r="F65" s="101"/>
      <c r="G65" s="43"/>
      <c r="H65" s="138"/>
      <c r="I65" s="49"/>
      <c r="J65" s="48"/>
      <c r="K65" s="46"/>
      <c r="P65" s="46"/>
      <c r="Q65" s="46"/>
      <c r="R65" s="46"/>
    </row>
    <row r="66" spans="1:18" ht="12.75">
      <c r="A66" s="42"/>
      <c r="B66" s="43"/>
      <c r="C66" s="43"/>
      <c r="D66" s="115"/>
      <c r="E66" s="43"/>
      <c r="F66" s="43"/>
      <c r="G66" s="43"/>
      <c r="H66" s="115"/>
      <c r="I66" s="43"/>
      <c r="J66" s="43"/>
      <c r="K66" s="46"/>
      <c r="P66" s="46"/>
      <c r="Q66" s="46"/>
      <c r="R66" s="46"/>
    </row>
    <row r="67" spans="1:18" ht="12.75">
      <c r="A67" s="42"/>
      <c r="B67" s="43"/>
      <c r="C67" s="43"/>
      <c r="D67" s="115"/>
      <c r="E67" s="43"/>
      <c r="F67" s="43"/>
      <c r="G67" s="43"/>
      <c r="H67" s="115"/>
      <c r="I67" s="43"/>
      <c r="J67" s="43"/>
      <c r="K67" s="46"/>
      <c r="P67" s="46"/>
      <c r="Q67" s="46"/>
      <c r="R67" s="46"/>
    </row>
    <row r="68" spans="1:18" ht="12.75">
      <c r="A68" s="42"/>
      <c r="B68" s="43"/>
      <c r="C68" s="43"/>
      <c r="D68" s="117" t="s">
        <v>56</v>
      </c>
      <c r="F68" s="77" t="s">
        <v>56</v>
      </c>
      <c r="G68" s="43"/>
      <c r="H68" s="151" t="s">
        <v>178</v>
      </c>
      <c r="I68" s="69"/>
      <c r="J68" s="70" t="s">
        <v>178</v>
      </c>
      <c r="K68" s="46"/>
      <c r="P68" s="46"/>
      <c r="Q68" s="46"/>
      <c r="R68" s="46"/>
    </row>
    <row r="69" spans="1:18" ht="12.75">
      <c r="A69" s="42"/>
      <c r="B69" s="43"/>
      <c r="C69" s="43"/>
      <c r="D69" s="118" t="s">
        <v>206</v>
      </c>
      <c r="E69" s="67"/>
      <c r="F69" s="71" t="s">
        <v>207</v>
      </c>
      <c r="G69" s="43"/>
      <c r="H69" s="118" t="str">
        <f>D69</f>
        <v>31/12/2011</v>
      </c>
      <c r="I69" s="67"/>
      <c r="J69" s="71" t="str">
        <f>F69</f>
        <v>31/12/2010</v>
      </c>
      <c r="K69" s="46"/>
      <c r="P69" s="46"/>
      <c r="Q69" s="46"/>
      <c r="R69" s="46"/>
    </row>
    <row r="70" spans="1:18" ht="12.75">
      <c r="A70" s="42"/>
      <c r="B70" s="43"/>
      <c r="C70" s="43"/>
      <c r="D70" s="145" t="s">
        <v>5</v>
      </c>
      <c r="E70" s="43"/>
      <c r="F70" s="57" t="s">
        <v>5</v>
      </c>
      <c r="G70" s="43"/>
      <c r="H70" s="145" t="s">
        <v>5</v>
      </c>
      <c r="I70" s="43"/>
      <c r="J70" s="57" t="s">
        <v>5</v>
      </c>
      <c r="K70" s="46"/>
      <c r="P70" s="46"/>
      <c r="Q70" s="46"/>
      <c r="R70" s="46"/>
    </row>
    <row r="71" spans="1:18" ht="12.75">
      <c r="A71" s="42" t="s">
        <v>48</v>
      </c>
      <c r="B71" s="43"/>
      <c r="C71" s="43"/>
      <c r="D71" s="144"/>
      <c r="E71" s="43"/>
      <c r="F71" s="43"/>
      <c r="G71" s="43"/>
      <c r="H71" s="144"/>
      <c r="I71" s="43"/>
      <c r="J71" s="43"/>
      <c r="K71" s="46"/>
      <c r="L71" s="93"/>
      <c r="M71" s="93"/>
      <c r="O71" s="46"/>
      <c r="P71" s="46"/>
      <c r="Q71" s="46"/>
      <c r="R71" s="46"/>
    </row>
    <row r="72" spans="1:18" ht="12.75">
      <c r="A72" s="67" t="s">
        <v>191</v>
      </c>
      <c r="B72" s="43"/>
      <c r="C72" s="43"/>
      <c r="D72" s="144"/>
      <c r="E72" s="43"/>
      <c r="F72" s="43"/>
      <c r="G72" s="43"/>
      <c r="H72" s="144"/>
      <c r="I72" s="43"/>
      <c r="J72" s="43"/>
      <c r="K72" s="46"/>
      <c r="L72" s="93"/>
      <c r="M72" s="93"/>
      <c r="O72" s="46"/>
      <c r="P72" s="46"/>
      <c r="Q72" s="46"/>
      <c r="R72" s="46"/>
    </row>
    <row r="73" spans="1:18" ht="7.5" customHeight="1">
      <c r="A73" s="67"/>
      <c r="B73" s="43"/>
      <c r="C73" s="43"/>
      <c r="D73" s="144"/>
      <c r="E73" s="43"/>
      <c r="F73" s="43"/>
      <c r="G73" s="43"/>
      <c r="H73" s="144"/>
      <c r="I73" s="43"/>
      <c r="J73" s="43"/>
      <c r="K73" s="46"/>
      <c r="L73" s="93"/>
      <c r="M73" s="93"/>
      <c r="O73" s="46"/>
      <c r="P73" s="46"/>
      <c r="Q73" s="46"/>
      <c r="R73" s="46"/>
    </row>
    <row r="74" spans="1:18" ht="12.75">
      <c r="A74" s="67" t="s">
        <v>222</v>
      </c>
      <c r="B74" s="43"/>
      <c r="C74" s="43"/>
      <c r="D74" s="146"/>
      <c r="K74" s="46"/>
      <c r="L74" s="93"/>
      <c r="M74" s="93"/>
      <c r="O74" s="46"/>
      <c r="P74" s="46"/>
      <c r="Q74" s="46"/>
      <c r="R74" s="46"/>
    </row>
    <row r="75" spans="1:18" ht="12.75">
      <c r="A75" s="67" t="s">
        <v>223</v>
      </c>
      <c r="B75" s="43"/>
      <c r="C75" s="43"/>
      <c r="D75" s="145">
        <f>H75+22562</f>
        <v>-834.5340605200035</v>
      </c>
      <c r="F75" s="44">
        <v>0</v>
      </c>
      <c r="H75" s="145">
        <f>-'[5]M-GER95A.XLS'!$Q$471+'[3]mktsec&amp;ST investment'!$F$17</f>
        <v>-23396.534060520004</v>
      </c>
      <c r="J75" s="44">
        <v>0</v>
      </c>
      <c r="K75" s="46"/>
      <c r="L75" s="93"/>
      <c r="M75" s="93"/>
      <c r="O75" s="46"/>
      <c r="P75" s="46"/>
      <c r="Q75" s="46"/>
      <c r="R75" s="46"/>
    </row>
    <row r="76" spans="1:18" ht="13.5" thickBot="1">
      <c r="A76" s="67" t="s">
        <v>208</v>
      </c>
      <c r="B76" s="43"/>
      <c r="C76" s="43"/>
      <c r="D76" s="143">
        <f>'[6]MS trades'!$D$25</f>
        <v>-600.50794</v>
      </c>
      <c r="F76" s="78">
        <f>4</f>
        <v>4</v>
      </c>
      <c r="H76" s="143">
        <f>'[6]MS trades'!$G$25</f>
        <v>-627.50794</v>
      </c>
      <c r="J76" s="78">
        <f>-1011+F76</f>
        <v>-1007</v>
      </c>
      <c r="K76" s="46"/>
      <c r="L76" s="93"/>
      <c r="M76" s="93"/>
      <c r="O76" s="46"/>
      <c r="P76" s="46"/>
      <c r="Q76" s="46"/>
      <c r="R76" s="46"/>
    </row>
    <row r="77" spans="11:18" ht="13.5" thickTop="1">
      <c r="K77" s="46"/>
      <c r="L77" s="93"/>
      <c r="M77" s="93"/>
      <c r="O77" s="46"/>
      <c r="P77" s="46"/>
      <c r="Q77" s="46"/>
      <c r="R77" s="46"/>
    </row>
    <row r="78" spans="1:18" ht="12.75">
      <c r="A78" s="42" t="s">
        <v>50</v>
      </c>
      <c r="B78" s="43"/>
      <c r="C78" s="43"/>
      <c r="D78" s="146"/>
      <c r="F78" s="44"/>
      <c r="H78" s="146"/>
      <c r="J78" s="44"/>
      <c r="K78" s="46"/>
      <c r="L78" s="93"/>
      <c r="M78" s="93"/>
      <c r="O78" s="46"/>
      <c r="P78" s="46"/>
      <c r="Q78" s="46"/>
      <c r="R78" s="46"/>
    </row>
    <row r="79" spans="1:18" ht="12.75">
      <c r="A79" s="67" t="s">
        <v>192</v>
      </c>
      <c r="B79" s="43"/>
      <c r="C79" s="43"/>
      <c r="D79" s="146"/>
      <c r="F79" s="44"/>
      <c r="H79" s="146"/>
      <c r="J79" s="44"/>
      <c r="K79" s="46"/>
      <c r="L79" s="93"/>
      <c r="M79" s="93"/>
      <c r="O79" s="46"/>
      <c r="P79" s="46"/>
      <c r="Q79" s="46"/>
      <c r="R79" s="46"/>
    </row>
    <row r="80" spans="1:18" ht="7.5" customHeight="1">
      <c r="A80" s="67"/>
      <c r="B80" s="43"/>
      <c r="C80" s="43"/>
      <c r="D80" s="146"/>
      <c r="F80" s="44"/>
      <c r="H80" s="146"/>
      <c r="J80" s="44"/>
      <c r="K80" s="46"/>
      <c r="L80" s="93"/>
      <c r="M80" s="93"/>
      <c r="O80" s="46"/>
      <c r="P80" s="46"/>
      <c r="Q80" s="46"/>
      <c r="R80" s="46"/>
    </row>
    <row r="81" spans="1:18" ht="15" customHeight="1">
      <c r="A81" s="67" t="s">
        <v>224</v>
      </c>
      <c r="B81" s="43"/>
      <c r="C81" s="43"/>
      <c r="D81" s="146">
        <f>H81-2400</f>
        <v>7</v>
      </c>
      <c r="F81" s="44">
        <v>13</v>
      </c>
      <c r="H81" s="146">
        <f>'[5]M-GER95A.XLS'!$Q$622</f>
        <v>2407</v>
      </c>
      <c r="J81" s="44">
        <v>19</v>
      </c>
      <c r="K81" s="46"/>
      <c r="L81" s="93"/>
      <c r="M81" s="93"/>
      <c r="O81" s="46"/>
      <c r="P81" s="46"/>
      <c r="Q81" s="46"/>
      <c r="R81" s="46"/>
    </row>
    <row r="82" spans="1:18" ht="12.75">
      <c r="A82" s="67" t="s">
        <v>225</v>
      </c>
      <c r="B82" s="43"/>
      <c r="C82" s="43"/>
      <c r="D82" s="147"/>
      <c r="H82" s="147"/>
      <c r="K82" s="46"/>
      <c r="L82" s="93"/>
      <c r="M82" s="93"/>
      <c r="O82" s="46"/>
      <c r="P82" s="46"/>
      <c r="Q82" s="46"/>
      <c r="R82" s="46"/>
    </row>
    <row r="83" spans="1:18" ht="13.5" thickBot="1">
      <c r="A83" s="81" t="s">
        <v>226</v>
      </c>
      <c r="B83" s="43"/>
      <c r="C83" s="43"/>
      <c r="D83" s="143">
        <f>H83-0</f>
        <v>1314</v>
      </c>
      <c r="F83" s="78">
        <f>4966</f>
        <v>4966</v>
      </c>
      <c r="G83" s="43"/>
      <c r="H83" s="143">
        <f>'[2]M-GER95A.XLS'!$Q$653</f>
        <v>1314</v>
      </c>
      <c r="I83" s="43"/>
      <c r="J83" s="78">
        <f>7333+F83</f>
        <v>12299</v>
      </c>
      <c r="K83" s="46"/>
      <c r="L83" s="93"/>
      <c r="M83" s="93"/>
      <c r="O83" s="46"/>
      <c r="P83" s="46"/>
      <c r="Q83" s="46"/>
      <c r="R83" s="46"/>
    </row>
    <row r="84" spans="1:18" ht="13.5" thickTop="1">
      <c r="A84" s="67"/>
      <c r="B84" s="43"/>
      <c r="C84" s="43"/>
      <c r="D84" s="144"/>
      <c r="E84" s="43"/>
      <c r="F84" s="43"/>
      <c r="G84" s="43"/>
      <c r="H84" s="144"/>
      <c r="I84" s="43"/>
      <c r="J84" s="43"/>
      <c r="K84" s="46"/>
      <c r="L84" s="93"/>
      <c r="M84" s="93"/>
      <c r="O84" s="46"/>
      <c r="P84" s="46"/>
      <c r="Q84" s="46"/>
      <c r="R84" s="46"/>
    </row>
    <row r="85" spans="1:18" ht="12.75">
      <c r="A85" s="53" t="s">
        <v>64</v>
      </c>
      <c r="B85" s="43"/>
      <c r="C85" s="43"/>
      <c r="D85" s="144"/>
      <c r="E85" s="43"/>
      <c r="F85" s="43"/>
      <c r="G85" s="43"/>
      <c r="H85" s="144"/>
      <c r="I85" s="43"/>
      <c r="J85" s="43"/>
      <c r="K85" s="46"/>
      <c r="L85" s="93"/>
      <c r="O85" s="46"/>
      <c r="P85" s="46"/>
      <c r="Q85" s="46"/>
      <c r="R85" s="46"/>
    </row>
    <row r="86" spans="1:18" ht="12.75">
      <c r="A86" s="67" t="s">
        <v>193</v>
      </c>
      <c r="B86" s="43"/>
      <c r="C86" s="43"/>
      <c r="D86" s="145"/>
      <c r="E86" s="43"/>
      <c r="F86" s="57"/>
      <c r="G86" s="43"/>
      <c r="H86" s="145"/>
      <c r="I86" s="43"/>
      <c r="J86" s="57"/>
      <c r="K86" s="46"/>
      <c r="L86" s="93"/>
      <c r="O86" s="46"/>
      <c r="P86" s="46"/>
      <c r="Q86" s="46"/>
      <c r="R86" s="46"/>
    </row>
    <row r="87" spans="1:18" ht="7.5" customHeight="1">
      <c r="A87" s="67"/>
      <c r="B87" s="43"/>
      <c r="C87" s="43"/>
      <c r="D87" s="145"/>
      <c r="E87" s="43"/>
      <c r="F87" s="57"/>
      <c r="G87" s="43"/>
      <c r="H87" s="145"/>
      <c r="I87" s="43"/>
      <c r="J87" s="57"/>
      <c r="K87" s="46"/>
      <c r="L87" s="93"/>
      <c r="O87" s="46"/>
      <c r="P87" s="46"/>
      <c r="Q87" s="46"/>
      <c r="R87" s="46"/>
    </row>
    <row r="88" spans="1:18" ht="12.75">
      <c r="A88" s="67" t="s">
        <v>227</v>
      </c>
      <c r="B88" s="43"/>
      <c r="C88" s="43"/>
      <c r="D88" s="145"/>
      <c r="E88" s="43"/>
      <c r="F88" s="57"/>
      <c r="G88" s="43"/>
      <c r="H88" s="145"/>
      <c r="I88" s="43"/>
      <c r="J88" s="57"/>
      <c r="K88" s="46"/>
      <c r="L88" s="93"/>
      <c r="O88" s="46"/>
      <c r="P88" s="46"/>
      <c r="Q88" s="46"/>
      <c r="R88" s="46"/>
    </row>
    <row r="89" spans="1:18" ht="12.75">
      <c r="A89" s="67" t="s">
        <v>186</v>
      </c>
      <c r="B89" s="43"/>
      <c r="C89" s="43"/>
      <c r="D89" s="145">
        <v>0</v>
      </c>
      <c r="E89" s="43"/>
      <c r="F89" s="57">
        <f>0</f>
        <v>0</v>
      </c>
      <c r="G89" s="43"/>
      <c r="H89" s="145">
        <f>'[5]M-GER95A.XLS'!$H$246</f>
        <v>5112.217075443812</v>
      </c>
      <c r="I89" s="43"/>
      <c r="J89" s="57">
        <f>0</f>
        <v>0</v>
      </c>
      <c r="K89" s="46"/>
      <c r="L89" s="93"/>
      <c r="O89" s="46"/>
      <c r="P89" s="46"/>
      <c r="Q89" s="46"/>
      <c r="R89" s="46"/>
    </row>
    <row r="90" spans="1:18" ht="12.75">
      <c r="A90" s="67" t="s">
        <v>228</v>
      </c>
      <c r="B90" s="43"/>
      <c r="C90" s="43"/>
      <c r="D90" s="145">
        <f>H90</f>
        <v>9151</v>
      </c>
      <c r="E90" s="43"/>
      <c r="F90" s="57"/>
      <c r="G90" s="43"/>
      <c r="H90" s="145">
        <f>'[5]M-GER95A.XLS'!$C$246</f>
        <v>9151</v>
      </c>
      <c r="I90" s="43"/>
      <c r="J90" s="57"/>
      <c r="K90" s="46"/>
      <c r="L90" s="93"/>
      <c r="O90" s="46"/>
      <c r="P90" s="46"/>
      <c r="Q90" s="46"/>
      <c r="R90" s="46"/>
    </row>
    <row r="91" spans="1:18" ht="12.75">
      <c r="A91" s="67" t="s">
        <v>233</v>
      </c>
      <c r="B91" s="43"/>
      <c r="C91" s="43"/>
      <c r="K91" s="46"/>
      <c r="L91" s="93"/>
      <c r="O91" s="46"/>
      <c r="P91" s="46"/>
      <c r="Q91" s="46"/>
      <c r="R91" s="46"/>
    </row>
    <row r="92" spans="1:18" ht="13.5" thickBot="1">
      <c r="A92" s="67" t="s">
        <v>186</v>
      </c>
      <c r="B92" s="43"/>
      <c r="C92" s="43"/>
      <c r="D92" s="167">
        <v>0</v>
      </c>
      <c r="E92" s="44"/>
      <c r="F92" s="175">
        <f>0</f>
        <v>0</v>
      </c>
      <c r="G92" s="44"/>
      <c r="H92" s="167">
        <f>0</f>
        <v>0</v>
      </c>
      <c r="I92" s="44"/>
      <c r="J92" s="175">
        <f>285</f>
        <v>285</v>
      </c>
      <c r="K92" s="46"/>
      <c r="L92" s="46"/>
      <c r="M92" s="46"/>
      <c r="N92" s="46"/>
      <c r="O92" s="46"/>
      <c r="P92" s="46"/>
      <c r="Q92" s="46"/>
      <c r="R92" s="46"/>
    </row>
    <row r="93" spans="11:18" ht="13.5" thickTop="1">
      <c r="K93" s="46"/>
      <c r="L93" s="46"/>
      <c r="M93" s="46"/>
      <c r="N93" s="46"/>
      <c r="O93" s="46"/>
      <c r="P93" s="46"/>
      <c r="Q93" s="46"/>
      <c r="R93" s="46"/>
    </row>
    <row r="94" spans="12:18" ht="12.75">
      <c r="L94" s="46"/>
      <c r="M94" s="46"/>
      <c r="N94" s="46"/>
      <c r="O94" s="46"/>
      <c r="P94" s="46"/>
      <c r="Q94" s="46"/>
      <c r="R94" s="46"/>
    </row>
    <row r="95" spans="1:18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46"/>
      <c r="M95" s="46"/>
      <c r="N95" s="46"/>
      <c r="O95" s="46"/>
      <c r="P95" s="46"/>
      <c r="Q95" s="46"/>
      <c r="R95" s="46"/>
    </row>
    <row r="96" spans="13:18" ht="12.75">
      <c r="M96" s="46"/>
      <c r="N96" s="46"/>
      <c r="O96" s="46"/>
      <c r="P96" s="46"/>
      <c r="Q96" s="46"/>
      <c r="R96" s="46"/>
    </row>
    <row r="97" spans="13:18" ht="12.75">
      <c r="M97" s="46"/>
      <c r="N97" s="46"/>
      <c r="O97" s="46"/>
      <c r="P97" s="46"/>
      <c r="Q97" s="46"/>
      <c r="R97" s="46"/>
    </row>
    <row r="98" spans="13:18" ht="12.75">
      <c r="M98" s="46"/>
      <c r="N98" s="46"/>
      <c r="O98" s="46"/>
      <c r="P98" s="46"/>
      <c r="Q98" s="46"/>
      <c r="R98" s="46"/>
    </row>
    <row r="99" spans="13:18" ht="12.75">
      <c r="M99" s="46"/>
      <c r="N99" s="46"/>
      <c r="O99" s="46"/>
      <c r="P99" s="46"/>
      <c r="Q99" s="46"/>
      <c r="R99" s="46"/>
    </row>
    <row r="100" spans="13:18" ht="12.75">
      <c r="M100" s="46"/>
      <c r="N100" s="46"/>
      <c r="O100" s="46"/>
      <c r="P100" s="46"/>
      <c r="Q100" s="46"/>
      <c r="R100" s="46"/>
    </row>
    <row r="101" spans="13:18" ht="12.75">
      <c r="M101" s="46"/>
      <c r="N101" s="46"/>
      <c r="O101" s="46"/>
      <c r="P101" s="46"/>
      <c r="Q101" s="46"/>
      <c r="R101" s="46"/>
    </row>
    <row r="102" spans="13:18" ht="12.75">
      <c r="M102" s="46"/>
      <c r="N102" s="46"/>
      <c r="O102" s="46"/>
      <c r="P102" s="46"/>
      <c r="Q102" s="46"/>
      <c r="R102" s="46"/>
    </row>
    <row r="103" spans="13:18" ht="12.75">
      <c r="M103" s="46"/>
      <c r="N103" s="46"/>
      <c r="O103" s="46"/>
      <c r="P103" s="46"/>
      <c r="Q103" s="46"/>
      <c r="R103" s="46"/>
    </row>
    <row r="104" spans="13:18" ht="12.75">
      <c r="M104" s="46"/>
      <c r="N104" s="46"/>
      <c r="O104" s="46"/>
      <c r="P104" s="46"/>
      <c r="Q104" s="46"/>
      <c r="R104" s="46"/>
    </row>
    <row r="105" spans="13:18" ht="12.75">
      <c r="M105" s="46"/>
      <c r="N105" s="46"/>
      <c r="O105" s="46"/>
      <c r="P105" s="46"/>
      <c r="Q105" s="46"/>
      <c r="R105" s="46"/>
    </row>
    <row r="106" spans="13:18" ht="12.75">
      <c r="M106" s="46"/>
      <c r="N106" s="46"/>
      <c r="O106" s="46"/>
      <c r="P106" s="46"/>
      <c r="Q106" s="46"/>
      <c r="R106" s="46"/>
    </row>
    <row r="107" spans="13:18" ht="12.75">
      <c r="M107" s="46"/>
      <c r="N107" s="46"/>
      <c r="O107" s="46"/>
      <c r="P107" s="46"/>
      <c r="Q107" s="46"/>
      <c r="R107" s="46"/>
    </row>
    <row r="108" spans="1:18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6"/>
      <c r="L108" s="46"/>
      <c r="M108" s="46"/>
      <c r="N108" s="46"/>
      <c r="O108" s="46"/>
      <c r="P108" s="46"/>
      <c r="Q108" s="46"/>
      <c r="R108" s="46"/>
    </row>
    <row r="109" spans="1:18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6"/>
      <c r="L109" s="46"/>
      <c r="M109" s="46"/>
      <c r="N109" s="46"/>
      <c r="O109" s="46"/>
      <c r="P109" s="46"/>
      <c r="Q109" s="46"/>
      <c r="R109" s="46"/>
    </row>
    <row r="110" spans="1:18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6"/>
      <c r="L110" s="46"/>
      <c r="M110" s="46"/>
      <c r="N110" s="46"/>
      <c r="O110" s="46"/>
      <c r="P110" s="46"/>
      <c r="Q110" s="46"/>
      <c r="R110" s="46"/>
    </row>
    <row r="111" spans="1:18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6"/>
      <c r="L111" s="46"/>
      <c r="M111" s="46"/>
      <c r="N111" s="46"/>
      <c r="O111" s="46"/>
      <c r="P111" s="46"/>
      <c r="Q111" s="46"/>
      <c r="R111" s="46"/>
    </row>
    <row r="112" spans="1:18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6"/>
      <c r="L112" s="46"/>
      <c r="M112" s="46"/>
      <c r="N112" s="46"/>
      <c r="O112" s="46"/>
      <c r="P112" s="46"/>
      <c r="Q112" s="46"/>
      <c r="R112" s="46"/>
    </row>
    <row r="113" spans="1:18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6"/>
      <c r="L113" s="46"/>
      <c r="M113" s="46"/>
      <c r="N113" s="46"/>
      <c r="O113" s="46"/>
      <c r="P113" s="46"/>
      <c r="Q113" s="46"/>
      <c r="R113" s="46"/>
    </row>
    <row r="114" spans="1:18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6"/>
      <c r="L114" s="46"/>
      <c r="M114" s="46"/>
      <c r="N114" s="46"/>
      <c r="O114" s="46"/>
      <c r="P114" s="46"/>
      <c r="Q114" s="46"/>
      <c r="R114" s="46"/>
    </row>
    <row r="115" spans="1:18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6"/>
      <c r="L115" s="46"/>
      <c r="M115" s="46"/>
      <c r="N115" s="46"/>
      <c r="O115" s="46"/>
      <c r="P115" s="46"/>
      <c r="Q115" s="46"/>
      <c r="R115" s="46"/>
    </row>
    <row r="116" spans="1:18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6"/>
      <c r="L116" s="46"/>
      <c r="M116" s="46"/>
      <c r="N116" s="46"/>
      <c r="O116" s="46"/>
      <c r="P116" s="46"/>
      <c r="Q116" s="46"/>
      <c r="R116" s="46"/>
    </row>
    <row r="117" spans="1:18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6"/>
      <c r="L117" s="46"/>
      <c r="M117" s="46"/>
      <c r="N117" s="46"/>
      <c r="O117" s="46"/>
      <c r="P117" s="46"/>
      <c r="Q117" s="46"/>
      <c r="R117" s="46"/>
    </row>
    <row r="118" spans="1:18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6"/>
      <c r="L118" s="46"/>
      <c r="M118" s="46"/>
      <c r="N118" s="46"/>
      <c r="O118" s="46"/>
      <c r="P118" s="46"/>
      <c r="Q118" s="46"/>
      <c r="R118" s="46"/>
    </row>
    <row r="119" spans="1:18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6"/>
      <c r="L119" s="46"/>
      <c r="M119" s="46"/>
      <c r="N119" s="46"/>
      <c r="O119" s="46"/>
      <c r="P119" s="46"/>
      <c r="Q119" s="46"/>
      <c r="R119" s="46"/>
    </row>
    <row r="120" spans="1:18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6"/>
      <c r="L120" s="46"/>
      <c r="M120" s="46"/>
      <c r="N120" s="46"/>
      <c r="O120" s="46"/>
      <c r="P120" s="46"/>
      <c r="Q120" s="46"/>
      <c r="R120" s="46"/>
    </row>
    <row r="121" spans="1:18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6"/>
      <c r="L121" s="46"/>
      <c r="M121" s="46"/>
      <c r="N121" s="46"/>
      <c r="O121" s="46"/>
      <c r="P121" s="46"/>
      <c r="Q121" s="46"/>
      <c r="R121" s="46"/>
    </row>
    <row r="122" spans="1:18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6"/>
      <c r="L122" s="46"/>
      <c r="M122" s="46"/>
      <c r="N122" s="46"/>
      <c r="O122" s="46"/>
      <c r="P122" s="46"/>
      <c r="Q122" s="46"/>
      <c r="R122" s="46"/>
    </row>
    <row r="123" spans="1:18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6"/>
      <c r="L123" s="46"/>
      <c r="M123" s="46"/>
      <c r="N123" s="46"/>
      <c r="O123" s="46"/>
      <c r="P123" s="46"/>
      <c r="Q123" s="46"/>
      <c r="R123" s="46"/>
    </row>
    <row r="124" spans="1:18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6"/>
      <c r="L124" s="46"/>
      <c r="M124" s="46"/>
      <c r="N124" s="46"/>
      <c r="O124" s="46"/>
      <c r="P124" s="46"/>
      <c r="Q124" s="46"/>
      <c r="R124" s="46"/>
    </row>
    <row r="125" spans="1:18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6"/>
      <c r="L125" s="46"/>
      <c r="M125" s="46"/>
      <c r="N125" s="46"/>
      <c r="O125" s="46"/>
      <c r="P125" s="46"/>
      <c r="Q125" s="46"/>
      <c r="R125" s="46"/>
    </row>
    <row r="126" spans="1:18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6"/>
      <c r="L126" s="46"/>
      <c r="M126" s="46"/>
      <c r="N126" s="46"/>
      <c r="O126" s="46"/>
      <c r="P126" s="46"/>
      <c r="Q126" s="46"/>
      <c r="R126" s="46"/>
    </row>
    <row r="127" spans="1:18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6"/>
      <c r="L127" s="46"/>
      <c r="M127" s="46"/>
      <c r="N127" s="46"/>
      <c r="O127" s="46"/>
      <c r="P127" s="46"/>
      <c r="Q127" s="46"/>
      <c r="R127" s="46"/>
    </row>
    <row r="128" spans="1:18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6"/>
      <c r="L128" s="46"/>
      <c r="M128" s="46"/>
      <c r="N128" s="46"/>
      <c r="O128" s="46"/>
      <c r="P128" s="46"/>
      <c r="Q128" s="46"/>
      <c r="R128" s="46"/>
    </row>
    <row r="129" spans="1:18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6"/>
      <c r="L129" s="46"/>
      <c r="M129" s="46"/>
      <c r="N129" s="46"/>
      <c r="O129" s="46"/>
      <c r="P129" s="46"/>
      <c r="Q129" s="46"/>
      <c r="R129" s="46"/>
    </row>
    <row r="130" spans="1:18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6"/>
      <c r="L130" s="46"/>
      <c r="M130" s="46"/>
      <c r="N130" s="46"/>
      <c r="O130" s="46"/>
      <c r="P130" s="46"/>
      <c r="Q130" s="46"/>
      <c r="R130" s="46"/>
    </row>
    <row r="131" spans="1:18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6"/>
      <c r="L131" s="46"/>
      <c r="M131" s="46"/>
      <c r="N131" s="46"/>
      <c r="O131" s="46"/>
      <c r="P131" s="46"/>
      <c r="Q131" s="46"/>
      <c r="R131" s="46"/>
    </row>
    <row r="132" spans="1:18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6"/>
      <c r="L132" s="46"/>
      <c r="M132" s="46"/>
      <c r="N132" s="46"/>
      <c r="O132" s="46"/>
      <c r="P132" s="46"/>
      <c r="Q132" s="46"/>
      <c r="R132" s="46"/>
    </row>
    <row r="133" spans="1:1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6"/>
      <c r="L133" s="46"/>
      <c r="M133" s="46"/>
      <c r="N133" s="46"/>
      <c r="O133" s="46"/>
      <c r="P133" s="46"/>
      <c r="Q133" s="46"/>
      <c r="R133" s="46"/>
    </row>
    <row r="134" spans="1:18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6"/>
      <c r="L134" s="46"/>
      <c r="M134" s="46"/>
      <c r="N134" s="46"/>
      <c r="O134" s="46"/>
      <c r="P134" s="46"/>
      <c r="Q134" s="46"/>
      <c r="R134" s="46"/>
    </row>
    <row r="135" spans="1:18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6"/>
      <c r="L135" s="46"/>
      <c r="M135" s="46"/>
      <c r="N135" s="46"/>
      <c r="O135" s="46"/>
      <c r="P135" s="46"/>
      <c r="Q135" s="46"/>
      <c r="R135" s="46"/>
    </row>
    <row r="136" spans="1:18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6"/>
      <c r="L136" s="46"/>
      <c r="M136" s="46"/>
      <c r="N136" s="46"/>
      <c r="O136" s="46"/>
      <c r="P136" s="46"/>
      <c r="Q136" s="46"/>
      <c r="R136" s="46"/>
    </row>
    <row r="137" spans="1:18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6"/>
      <c r="L137" s="46"/>
      <c r="M137" s="46"/>
      <c r="N137" s="46"/>
      <c r="O137" s="46"/>
      <c r="P137" s="46"/>
      <c r="Q137" s="46"/>
      <c r="R137" s="46"/>
    </row>
    <row r="138" spans="1:18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6"/>
      <c r="L138" s="46"/>
      <c r="M138" s="46"/>
      <c r="N138" s="46"/>
      <c r="O138" s="46"/>
      <c r="P138" s="46"/>
      <c r="Q138" s="46"/>
      <c r="R138" s="46"/>
    </row>
    <row r="139" spans="1:18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6"/>
      <c r="L139" s="46"/>
      <c r="M139" s="46"/>
      <c r="N139" s="46"/>
      <c r="O139" s="46"/>
      <c r="P139" s="46"/>
      <c r="Q139" s="46"/>
      <c r="R139" s="46"/>
    </row>
    <row r="140" spans="1:18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6"/>
      <c r="L140" s="46"/>
      <c r="M140" s="46"/>
      <c r="N140" s="46"/>
      <c r="O140" s="46"/>
      <c r="P140" s="46"/>
      <c r="Q140" s="46"/>
      <c r="R140" s="46"/>
    </row>
    <row r="141" spans="1:18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6"/>
      <c r="L141" s="46"/>
      <c r="M141" s="46"/>
      <c r="N141" s="46"/>
      <c r="O141" s="46"/>
      <c r="P141" s="46"/>
      <c r="Q141" s="46"/>
      <c r="R141" s="46"/>
    </row>
    <row r="142" spans="1:18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6"/>
      <c r="L142" s="46"/>
      <c r="M142" s="46"/>
      <c r="N142" s="46"/>
      <c r="O142" s="46"/>
      <c r="P142" s="46"/>
      <c r="Q142" s="46"/>
      <c r="R142" s="46"/>
    </row>
    <row r="143" spans="1:18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6"/>
      <c r="L143" s="46"/>
      <c r="M143" s="46"/>
      <c r="N143" s="46"/>
      <c r="O143" s="46"/>
      <c r="P143" s="46"/>
      <c r="Q143" s="46"/>
      <c r="R143" s="46"/>
    </row>
    <row r="144" spans="1:18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6"/>
      <c r="L144" s="46"/>
      <c r="M144" s="46"/>
      <c r="N144" s="46"/>
      <c r="O144" s="46"/>
      <c r="P144" s="46"/>
      <c r="Q144" s="46"/>
      <c r="R144" s="46"/>
    </row>
    <row r="145" spans="1:18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6"/>
      <c r="L145" s="46"/>
      <c r="M145" s="46"/>
      <c r="N145" s="46"/>
      <c r="O145" s="46"/>
      <c r="P145" s="46"/>
      <c r="Q145" s="46"/>
      <c r="R145" s="46"/>
    </row>
    <row r="146" spans="1:18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6"/>
      <c r="L146" s="46"/>
      <c r="M146" s="46"/>
      <c r="N146" s="46"/>
      <c r="O146" s="46"/>
      <c r="P146" s="46"/>
      <c r="Q146" s="46"/>
      <c r="R146" s="46"/>
    </row>
    <row r="147" spans="1:18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6"/>
      <c r="L147" s="46"/>
      <c r="M147" s="46"/>
      <c r="N147" s="46"/>
      <c r="O147" s="46"/>
      <c r="P147" s="46"/>
      <c r="Q147" s="46"/>
      <c r="R147" s="46"/>
    </row>
    <row r="148" spans="1:18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6"/>
      <c r="L148" s="46"/>
      <c r="M148" s="46"/>
      <c r="N148" s="46"/>
      <c r="O148" s="46"/>
      <c r="P148" s="46"/>
      <c r="Q148" s="46"/>
      <c r="R148" s="46"/>
    </row>
    <row r="149" spans="1:18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6"/>
      <c r="L149" s="46"/>
      <c r="M149" s="46"/>
      <c r="N149" s="46"/>
      <c r="O149" s="46"/>
      <c r="P149" s="46"/>
      <c r="Q149" s="46"/>
      <c r="R149" s="46"/>
    </row>
    <row r="150" spans="1:18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6"/>
      <c r="L150" s="46"/>
      <c r="M150" s="46"/>
      <c r="N150" s="46"/>
      <c r="O150" s="46"/>
      <c r="P150" s="46"/>
      <c r="Q150" s="46"/>
      <c r="R150" s="46"/>
    </row>
    <row r="151" spans="1:18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6"/>
      <c r="L151" s="46"/>
      <c r="M151" s="46"/>
      <c r="N151" s="46"/>
      <c r="O151" s="46"/>
      <c r="P151" s="46"/>
      <c r="Q151" s="46"/>
      <c r="R151" s="46"/>
    </row>
    <row r="152" spans="1:18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6"/>
      <c r="L152" s="46"/>
      <c r="M152" s="46"/>
      <c r="N152" s="46"/>
      <c r="O152" s="46"/>
      <c r="P152" s="46"/>
      <c r="Q152" s="46"/>
      <c r="R152" s="46"/>
    </row>
    <row r="153" spans="1:18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6"/>
      <c r="L153" s="46"/>
      <c r="M153" s="46"/>
      <c r="N153" s="46"/>
      <c r="O153" s="46"/>
      <c r="P153" s="46"/>
      <c r="Q153" s="46"/>
      <c r="R153" s="46"/>
    </row>
    <row r="154" spans="1:18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6"/>
      <c r="L154" s="46"/>
      <c r="M154" s="46"/>
      <c r="N154" s="46"/>
      <c r="O154" s="46"/>
      <c r="P154" s="46"/>
      <c r="Q154" s="46"/>
      <c r="R154" s="46"/>
    </row>
    <row r="155" spans="1:18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6"/>
      <c r="L155" s="46"/>
      <c r="M155" s="46"/>
      <c r="N155" s="46"/>
      <c r="O155" s="46"/>
      <c r="P155" s="46"/>
      <c r="Q155" s="46"/>
      <c r="R155" s="46"/>
    </row>
    <row r="156" spans="1:18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6"/>
      <c r="L156" s="46"/>
      <c r="M156" s="46"/>
      <c r="N156" s="46"/>
      <c r="O156" s="46"/>
      <c r="P156" s="46"/>
      <c r="Q156" s="46"/>
      <c r="R156" s="46"/>
    </row>
    <row r="157" spans="1:18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6"/>
      <c r="L157" s="46"/>
      <c r="M157" s="46"/>
      <c r="N157" s="46"/>
      <c r="O157" s="46"/>
      <c r="P157" s="46"/>
      <c r="Q157" s="46"/>
      <c r="R157" s="46"/>
    </row>
    <row r="158" spans="1:18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6"/>
      <c r="L158" s="46"/>
      <c r="M158" s="46"/>
      <c r="N158" s="46"/>
      <c r="O158" s="46"/>
      <c r="P158" s="46"/>
      <c r="Q158" s="46"/>
      <c r="R158" s="46"/>
    </row>
    <row r="159" spans="1:18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6"/>
      <c r="L159" s="46"/>
      <c r="M159" s="46"/>
      <c r="N159" s="46"/>
      <c r="O159" s="46"/>
      <c r="P159" s="46"/>
      <c r="Q159" s="46"/>
      <c r="R159" s="46"/>
    </row>
    <row r="160" spans="1:18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6"/>
      <c r="L160" s="46"/>
      <c r="M160" s="46"/>
      <c r="N160" s="46"/>
      <c r="O160" s="46"/>
      <c r="P160" s="46"/>
      <c r="Q160" s="46"/>
      <c r="R160" s="46"/>
    </row>
    <row r="161" spans="1:18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6"/>
      <c r="L161" s="46"/>
      <c r="M161" s="46"/>
      <c r="N161" s="46"/>
      <c r="O161" s="46"/>
      <c r="P161" s="46"/>
      <c r="Q161" s="46"/>
      <c r="R161" s="46"/>
    </row>
    <row r="162" spans="1:18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6"/>
      <c r="L162" s="46"/>
      <c r="M162" s="46"/>
      <c r="N162" s="46"/>
      <c r="O162" s="46"/>
      <c r="P162" s="46"/>
      <c r="Q162" s="46"/>
      <c r="R162" s="46"/>
    </row>
    <row r="163" spans="1:18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6"/>
      <c r="L163" s="46"/>
      <c r="M163" s="46"/>
      <c r="N163" s="46"/>
      <c r="O163" s="46"/>
      <c r="P163" s="46"/>
      <c r="Q163" s="46"/>
      <c r="R163" s="46"/>
    </row>
    <row r="164" spans="1:18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6"/>
      <c r="L164" s="46"/>
      <c r="M164" s="46"/>
      <c r="N164" s="46"/>
      <c r="O164" s="46"/>
      <c r="P164" s="46"/>
      <c r="Q164" s="46"/>
      <c r="R164" s="46"/>
    </row>
    <row r="165" spans="1:18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6"/>
      <c r="L165" s="46"/>
      <c r="M165" s="46"/>
      <c r="N165" s="46"/>
      <c r="O165" s="46"/>
      <c r="P165" s="46"/>
      <c r="Q165" s="46"/>
      <c r="R165" s="46"/>
    </row>
    <row r="166" spans="1:18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6"/>
      <c r="L166" s="46"/>
      <c r="M166" s="46"/>
      <c r="N166" s="46"/>
      <c r="O166" s="46"/>
      <c r="P166" s="46"/>
      <c r="Q166" s="46"/>
      <c r="R166" s="46"/>
    </row>
    <row r="167" spans="1:18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6"/>
      <c r="L167" s="46"/>
      <c r="M167" s="46"/>
      <c r="N167" s="46"/>
      <c r="O167" s="46"/>
      <c r="P167" s="46"/>
      <c r="Q167" s="46"/>
      <c r="R167" s="46"/>
    </row>
    <row r="168" spans="1:18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6"/>
      <c r="L168" s="46"/>
      <c r="M168" s="46"/>
      <c r="N168" s="46"/>
      <c r="O168" s="46"/>
      <c r="P168" s="46"/>
      <c r="Q168" s="46"/>
      <c r="R168" s="46"/>
    </row>
    <row r="169" spans="1:18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6"/>
      <c r="L169" s="46"/>
      <c r="M169" s="46"/>
      <c r="N169" s="46"/>
      <c r="O169" s="46"/>
      <c r="P169" s="46"/>
      <c r="Q169" s="46"/>
      <c r="R169" s="46"/>
    </row>
    <row r="170" spans="1:18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6"/>
      <c r="L170" s="46"/>
      <c r="M170" s="46"/>
      <c r="N170" s="46"/>
      <c r="O170" s="46"/>
      <c r="P170" s="46"/>
      <c r="Q170" s="46"/>
      <c r="R170" s="46"/>
    </row>
    <row r="171" spans="1:18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6"/>
      <c r="L171" s="46"/>
      <c r="M171" s="46"/>
      <c r="N171" s="46"/>
      <c r="O171" s="46"/>
      <c r="P171" s="46"/>
      <c r="Q171" s="46"/>
      <c r="R171" s="46"/>
    </row>
    <row r="172" spans="1:18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6"/>
      <c r="L172" s="46"/>
      <c r="M172" s="46"/>
      <c r="N172" s="46"/>
      <c r="O172" s="46"/>
      <c r="P172" s="46"/>
      <c r="Q172" s="46"/>
      <c r="R172" s="46"/>
    </row>
    <row r="173" spans="1:18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6"/>
      <c r="L173" s="46"/>
      <c r="M173" s="46"/>
      <c r="N173" s="46"/>
      <c r="O173" s="46"/>
      <c r="P173" s="46"/>
      <c r="Q173" s="46"/>
      <c r="R173" s="46"/>
    </row>
    <row r="174" spans="1:18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6"/>
      <c r="L174" s="46"/>
      <c r="M174" s="46"/>
      <c r="N174" s="46"/>
      <c r="O174" s="46"/>
      <c r="P174" s="46"/>
      <c r="Q174" s="46"/>
      <c r="R174" s="46"/>
    </row>
    <row r="175" spans="1:18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6"/>
      <c r="L175" s="46"/>
      <c r="M175" s="46"/>
      <c r="N175" s="46"/>
      <c r="O175" s="46"/>
      <c r="P175" s="46"/>
      <c r="Q175" s="46"/>
      <c r="R175" s="46"/>
    </row>
    <row r="176" spans="1:18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6"/>
      <c r="L176" s="46"/>
      <c r="M176" s="46"/>
      <c r="N176" s="46"/>
      <c r="O176" s="46"/>
      <c r="P176" s="46"/>
      <c r="Q176" s="46"/>
      <c r="R176" s="46"/>
    </row>
    <row r="177" spans="1:18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6"/>
      <c r="L177" s="46"/>
      <c r="M177" s="46"/>
      <c r="N177" s="46"/>
      <c r="O177" s="46"/>
      <c r="P177" s="46"/>
      <c r="Q177" s="46"/>
      <c r="R177" s="46"/>
    </row>
    <row r="178" spans="1:18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6"/>
      <c r="L178" s="46"/>
      <c r="M178" s="46"/>
      <c r="N178" s="46"/>
      <c r="O178" s="46"/>
      <c r="P178" s="46"/>
      <c r="Q178" s="46"/>
      <c r="R178" s="46"/>
    </row>
    <row r="179" spans="1:18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6"/>
      <c r="L179" s="46"/>
      <c r="M179" s="46"/>
      <c r="N179" s="46"/>
      <c r="O179" s="46"/>
      <c r="P179" s="46"/>
      <c r="Q179" s="46"/>
      <c r="R179" s="46"/>
    </row>
    <row r="180" spans="1:18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6"/>
      <c r="L180" s="46"/>
      <c r="M180" s="46"/>
      <c r="N180" s="46"/>
      <c r="O180" s="46"/>
      <c r="P180" s="46"/>
      <c r="Q180" s="46"/>
      <c r="R180" s="46"/>
    </row>
    <row r="181" spans="1:18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6"/>
      <c r="L181" s="46"/>
      <c r="M181" s="46"/>
      <c r="N181" s="46"/>
      <c r="O181" s="46"/>
      <c r="P181" s="46"/>
      <c r="Q181" s="46"/>
      <c r="R181" s="46"/>
    </row>
    <row r="182" spans="1:18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6"/>
      <c r="L182" s="46"/>
      <c r="M182" s="46"/>
      <c r="N182" s="46"/>
      <c r="O182" s="46"/>
      <c r="P182" s="46"/>
      <c r="Q182" s="46"/>
      <c r="R182" s="46"/>
    </row>
    <row r="183" spans="1:18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6"/>
      <c r="L183" s="46"/>
      <c r="M183" s="46"/>
      <c r="N183" s="46"/>
      <c r="O183" s="46"/>
      <c r="P183" s="46"/>
      <c r="Q183" s="46"/>
      <c r="R183" s="46"/>
    </row>
    <row r="184" spans="1:18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6"/>
      <c r="L184" s="46"/>
      <c r="M184" s="46"/>
      <c r="N184" s="46"/>
      <c r="O184" s="46"/>
      <c r="P184" s="46"/>
      <c r="Q184" s="46"/>
      <c r="R184" s="46"/>
    </row>
    <row r="185" spans="1:18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6"/>
      <c r="L185" s="46"/>
      <c r="M185" s="46"/>
      <c r="N185" s="46"/>
      <c r="O185" s="46"/>
      <c r="P185" s="46"/>
      <c r="Q185" s="46"/>
      <c r="R185" s="46"/>
    </row>
    <row r="186" spans="1:18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</row>
    <row r="187" spans="1:18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</row>
    <row r="188" spans="1:18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</row>
    <row r="189" spans="1:18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spans="1:18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</row>
    <row r="191" spans="1:18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spans="1:18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</row>
    <row r="193" spans="1:18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</row>
    <row r="194" spans="1:18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1:18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</row>
    <row r="196" spans="1:18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</row>
    <row r="197" spans="1:18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</row>
    <row r="198" spans="1:18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</row>
    <row r="199" spans="1:18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1:18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</row>
    <row r="202" spans="1:18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</row>
    <row r="203" spans="1:18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:18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</row>
    <row r="205" spans="1:18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</row>
    <row r="206" spans="1:18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:18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</row>
    <row r="208" spans="1:18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</row>
    <row r="209" spans="1:18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</row>
    <row r="210" spans="1:18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</row>
    <row r="211" spans="1:18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:18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</row>
    <row r="213" spans="1:18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</row>
    <row r="214" spans="1:18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</row>
    <row r="215" spans="1:18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</row>
    <row r="216" spans="1:18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</row>
    <row r="217" spans="1:18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</row>
    <row r="219" spans="1:18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</row>
    <row r="220" spans="1:18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:18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:18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</row>
    <row r="224" spans="1:18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</row>
    <row r="225" spans="1:18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:18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:18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:18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:18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</row>
    <row r="246" spans="1:18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</row>
    <row r="247" spans="1:18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</row>
    <row r="248" spans="1:18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:18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</row>
    <row r="250" spans="1:18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</row>
    <row r="251" spans="1:18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</row>
    <row r="252" spans="1:18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</row>
    <row r="253" spans="1:18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:18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:18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:18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:18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:18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:18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:18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:18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:18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:18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:18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:18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:18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8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:18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:18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:18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:18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:18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:18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:18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:18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:18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:18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</row>
    <row r="285" spans="1:18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</row>
    <row r="286" spans="1:18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</row>
    <row r="287" spans="1:18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</row>
  </sheetData>
  <mergeCells count="6">
    <mergeCell ref="A95:K95"/>
    <mergeCell ref="A2:J2"/>
    <mergeCell ref="A3:J3"/>
    <mergeCell ref="A4:J4"/>
    <mergeCell ref="H18:J18"/>
    <mergeCell ref="D18:F18"/>
  </mergeCells>
  <printOptions horizontalCentered="1"/>
  <pageMargins left="0.25" right="0" top="0" bottom="0" header="0.15" footer="0.25"/>
  <pageSetup fitToHeight="0" fitToWidth="0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="75" zoomScaleNormal="75" workbookViewId="0" topLeftCell="A42">
      <selection activeCell="B59" sqref="B59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8.7109375" style="0" customWidth="1"/>
    <col min="5" max="5" width="12.8515625" style="0" customWidth="1"/>
    <col min="6" max="6" width="10.28125" style="0" customWidth="1"/>
    <col min="7" max="8" width="15.7109375" style="0" customWidth="1"/>
    <col min="9" max="9" width="2.7109375" style="0" customWidth="1"/>
    <col min="10" max="10" width="18.7109375" style="0" customWidth="1"/>
    <col min="12" max="12" width="9.7109375" style="0" customWidth="1"/>
  </cols>
  <sheetData>
    <row r="1" spans="1:11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>
      <c r="A2" s="182" t="s">
        <v>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>
      <c r="A3" s="182" t="s">
        <v>20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7" ht="12.75">
      <c r="A4" s="36"/>
      <c r="B4" s="36"/>
      <c r="C4" s="36"/>
      <c r="D4" s="36"/>
      <c r="E4" s="36"/>
      <c r="F4" s="36"/>
      <c r="G4" s="36"/>
    </row>
    <row r="5" spans="1:12" ht="13.5" thickBot="1">
      <c r="A5" s="55" t="s">
        <v>205</v>
      </c>
      <c r="B5" s="37"/>
      <c r="C5" s="37"/>
      <c r="D5" s="37"/>
      <c r="E5" s="37"/>
      <c r="F5" s="37"/>
      <c r="G5" s="37"/>
      <c r="H5" s="38"/>
      <c r="I5" s="38"/>
      <c r="J5" s="38"/>
      <c r="K5" s="20"/>
      <c r="L5" s="20"/>
    </row>
    <row r="6" spans="1:7" ht="15.75">
      <c r="A6" s="30"/>
      <c r="B6" s="28"/>
      <c r="C6" s="25"/>
      <c r="D6" s="26"/>
      <c r="E6" s="26"/>
      <c r="F6" s="26"/>
      <c r="G6" s="29"/>
    </row>
    <row r="7" spans="1:7" ht="15.75">
      <c r="A7" s="56" t="s">
        <v>210</v>
      </c>
      <c r="B7" s="28"/>
      <c r="C7" s="25"/>
      <c r="D7" s="26"/>
      <c r="E7" s="26"/>
      <c r="F7" s="26"/>
      <c r="G7" s="29"/>
    </row>
    <row r="8" spans="1:10" ht="15.75">
      <c r="A8" s="84" t="s">
        <v>211</v>
      </c>
      <c r="B8" s="28"/>
      <c r="C8" s="25"/>
      <c r="D8" s="26"/>
      <c r="E8" s="26"/>
      <c r="F8" s="26"/>
      <c r="G8" s="29"/>
      <c r="J8" s="177"/>
    </row>
    <row r="9" spans="1:10" ht="15.75">
      <c r="A9" s="56"/>
      <c r="B9" s="28"/>
      <c r="C9" s="25"/>
      <c r="D9" s="26"/>
      <c r="E9" s="26"/>
      <c r="F9" s="26"/>
      <c r="G9" s="29"/>
      <c r="H9" s="120"/>
      <c r="J9" s="21" t="s">
        <v>49</v>
      </c>
    </row>
    <row r="10" spans="1:10" ht="15.75">
      <c r="A10" s="56"/>
      <c r="B10" s="28"/>
      <c r="C10" s="25"/>
      <c r="D10" s="26"/>
      <c r="E10" s="26"/>
      <c r="F10" s="26"/>
      <c r="G10" s="29"/>
      <c r="H10" s="130" t="s">
        <v>99</v>
      </c>
      <c r="I10" s="10"/>
      <c r="J10" s="21" t="s">
        <v>57</v>
      </c>
    </row>
    <row r="11" spans="1:10" ht="15.75">
      <c r="A11" s="56"/>
      <c r="B11" s="28"/>
      <c r="C11" s="25"/>
      <c r="D11" s="26"/>
      <c r="E11" s="26"/>
      <c r="F11" s="26"/>
      <c r="G11" s="29"/>
      <c r="H11" s="130" t="s">
        <v>179</v>
      </c>
      <c r="I11" s="10"/>
      <c r="J11" s="66" t="s">
        <v>179</v>
      </c>
    </row>
    <row r="12" spans="1:10" ht="15.75">
      <c r="A12" s="56"/>
      <c r="B12" s="28"/>
      <c r="C12" s="25"/>
      <c r="D12" s="26"/>
      <c r="E12" s="26"/>
      <c r="F12" s="26"/>
      <c r="G12" s="29"/>
      <c r="H12" s="117" t="s">
        <v>15</v>
      </c>
      <c r="I12" s="10"/>
      <c r="J12" s="21" t="s">
        <v>15</v>
      </c>
    </row>
    <row r="13" spans="1:10" ht="15.75">
      <c r="A13" s="56"/>
      <c r="B13" s="28"/>
      <c r="C13" s="25"/>
      <c r="D13" s="26"/>
      <c r="E13" s="26"/>
      <c r="F13" s="26"/>
      <c r="G13" s="29"/>
      <c r="H13" s="118" t="s">
        <v>206</v>
      </c>
      <c r="I13" s="2"/>
      <c r="J13" s="64" t="s">
        <v>207</v>
      </c>
    </row>
    <row r="14" ht="12.75">
      <c r="H14" s="120"/>
    </row>
    <row r="15" spans="8:10" ht="12.75">
      <c r="H15" s="117" t="s">
        <v>5</v>
      </c>
      <c r="J15" s="21" t="s">
        <v>5</v>
      </c>
    </row>
    <row r="16" spans="1:8" ht="12.75">
      <c r="A16" s="4" t="s">
        <v>32</v>
      </c>
      <c r="H16" s="120"/>
    </row>
    <row r="17" spans="2:13" ht="12.75">
      <c r="B17" s="51" t="s">
        <v>231</v>
      </c>
      <c r="H17" s="115">
        <f>'P&amp;L'!H45</f>
        <v>3257.029792505309</v>
      </c>
      <c r="J17" s="43">
        <f>40210</f>
        <v>40210</v>
      </c>
      <c r="M17" s="46"/>
    </row>
    <row r="18" spans="8:10" ht="12.75">
      <c r="H18" s="115"/>
      <c r="J18" s="43"/>
    </row>
    <row r="19" spans="2:10" ht="12.75">
      <c r="B19" s="51" t="s">
        <v>47</v>
      </c>
      <c r="H19" s="115"/>
      <c r="J19" s="43"/>
    </row>
    <row r="20" spans="3:10" ht="12.75">
      <c r="C20" t="s">
        <v>33</v>
      </c>
      <c r="H20" s="115">
        <f>'[3]cashflow'!$J$55</f>
        <v>21931.802703104993</v>
      </c>
      <c r="J20" s="43">
        <f>-41252</f>
        <v>-41252</v>
      </c>
    </row>
    <row r="21" spans="3:10" ht="12.75">
      <c r="C21" t="s">
        <v>34</v>
      </c>
      <c r="H21" s="115">
        <f>'[3]cashflow'!$H$47</f>
        <v>4255.862050000003</v>
      </c>
      <c r="J21" s="43">
        <f>2364</f>
        <v>2364</v>
      </c>
    </row>
    <row r="22" spans="3:10" ht="12.75">
      <c r="C22" t="s">
        <v>35</v>
      </c>
      <c r="H22" s="115">
        <f>'[3]cashflow'!$H$48</f>
        <v>-4694.257600284</v>
      </c>
      <c r="J22" s="43">
        <f>-4464</f>
        <v>-4464</v>
      </c>
    </row>
    <row r="23" spans="8:10" ht="12.75">
      <c r="H23" s="131"/>
      <c r="J23" s="49"/>
    </row>
    <row r="24" spans="2:10" ht="12.75">
      <c r="B24" s="51" t="s">
        <v>181</v>
      </c>
      <c r="H24" s="115">
        <f>SUM(H17:H22)+1</f>
        <v>24751.436945326306</v>
      </c>
      <c r="J24" s="43">
        <f>SUM(J17:J22)</f>
        <v>-3142</v>
      </c>
    </row>
    <row r="25" spans="8:10" ht="12.75">
      <c r="H25" s="115"/>
      <c r="J25" s="43"/>
    </row>
    <row r="26" spans="2:10" ht="12.75">
      <c r="B26" s="51" t="s">
        <v>96</v>
      </c>
      <c r="H26" s="115"/>
      <c r="J26" s="43"/>
    </row>
    <row r="27" spans="3:10" ht="12.75">
      <c r="C27" t="s">
        <v>36</v>
      </c>
      <c r="H27" s="115">
        <f>SUM('[3]cashflow'!$H$58:$H$67)-2</f>
        <v>-205102.24196059362</v>
      </c>
      <c r="J27" s="43">
        <f>8523</f>
        <v>8523</v>
      </c>
    </row>
    <row r="28" spans="3:10" ht="12.75">
      <c r="C28" t="s">
        <v>37</v>
      </c>
      <c r="H28" s="115">
        <f>SUM('[3]cashflow'!$H$68:$H$69)</f>
        <v>4625.154510544533</v>
      </c>
      <c r="J28" s="43">
        <f>18090-12402</f>
        <v>5688</v>
      </c>
    </row>
    <row r="29" spans="8:10" ht="12.75">
      <c r="H29" s="131"/>
      <c r="J29" s="49"/>
    </row>
    <row r="30" spans="2:10" ht="12.75">
      <c r="B30" s="14" t="s">
        <v>182</v>
      </c>
      <c r="H30" s="115">
        <f>SUM(H24:H28)</f>
        <v>-175725.65050472278</v>
      </c>
      <c r="J30" s="43">
        <f>SUM(J24:J28)</f>
        <v>11069</v>
      </c>
    </row>
    <row r="31" spans="8:10" ht="12.75">
      <c r="H31" s="115"/>
      <c r="J31" s="43"/>
    </row>
    <row r="32" spans="2:10" ht="12.75">
      <c r="B32" t="s">
        <v>34</v>
      </c>
      <c r="H32" s="115">
        <f>'[3]cashflow'!$H$74</f>
        <v>-4255.862050000003</v>
      </c>
      <c r="J32" s="43">
        <f>-J21</f>
        <v>-2364</v>
      </c>
    </row>
    <row r="33" spans="2:10" ht="12.75">
      <c r="B33" t="s">
        <v>35</v>
      </c>
      <c r="H33" s="115">
        <f>'[3]cashflow'!$H$73</f>
        <v>4694.257600284</v>
      </c>
      <c r="J33" s="43">
        <f>-J22</f>
        <v>4464</v>
      </c>
    </row>
    <row r="34" spans="2:10" ht="12.75">
      <c r="B34" t="s">
        <v>150</v>
      </c>
      <c r="H34" s="115">
        <f>-'[3]prov tax &amp; def tax'!$H$45-H35</f>
        <v>21.55493557599999</v>
      </c>
      <c r="J34" s="43">
        <v>0</v>
      </c>
    </row>
    <row r="35" spans="2:10" ht="12.75">
      <c r="B35" s="51" t="s">
        <v>140</v>
      </c>
      <c r="H35" s="115">
        <f>-'[3]prov tax &amp; def tax'!$H$36-'[3]prov tax &amp; def tax'!$H$9-'[3]prov tax &amp; def tax'!$H$34</f>
        <v>-386.04255</v>
      </c>
      <c r="J35" s="43">
        <f>-511</f>
        <v>-511</v>
      </c>
    </row>
    <row r="36" spans="8:10" ht="12.75">
      <c r="H36" s="131"/>
      <c r="J36" s="43"/>
    </row>
    <row r="37" spans="2:10" ht="12.75">
      <c r="B37" s="14" t="s">
        <v>183</v>
      </c>
      <c r="H37" s="132">
        <f>SUM(H30:H36)</f>
        <v>-175651.7425688628</v>
      </c>
      <c r="J37" s="52">
        <f>SUM(J30:J36)</f>
        <v>12658</v>
      </c>
    </row>
    <row r="38" spans="2:10" ht="12.75">
      <c r="B38" s="5" t="s">
        <v>2</v>
      </c>
      <c r="H38" s="115"/>
      <c r="J38" s="43"/>
    </row>
    <row r="39" spans="1:10" ht="12.75">
      <c r="A39" s="4" t="s">
        <v>38</v>
      </c>
      <c r="H39" s="115"/>
      <c r="J39" s="43"/>
    </row>
    <row r="40" spans="1:10" ht="12.75">
      <c r="A40" s="4"/>
      <c r="B40" t="s">
        <v>187</v>
      </c>
      <c r="H40" s="115">
        <f>'[3]cashflow'!$H$81</f>
        <v>-1400</v>
      </c>
      <c r="J40" s="43">
        <v>0</v>
      </c>
    </row>
    <row r="41" spans="2:10" ht="12.75">
      <c r="B41" t="s">
        <v>39</v>
      </c>
      <c r="H41" s="115">
        <f>'[3]cashflow'!$H$83</f>
        <v>-2786.2969836000007</v>
      </c>
      <c r="J41" s="115">
        <f>-2391</f>
        <v>-2391</v>
      </c>
    </row>
    <row r="42" spans="2:10" ht="12.75">
      <c r="B42" s="103" t="s">
        <v>137</v>
      </c>
      <c r="H42" s="115">
        <v>0</v>
      </c>
      <c r="J42" s="165">
        <f>-10591</f>
        <v>-10591</v>
      </c>
    </row>
    <row r="43" spans="2:10" ht="12.75">
      <c r="B43" s="103" t="s">
        <v>220</v>
      </c>
      <c r="H43" s="115">
        <f>'[3]cashflow'!$H$88</f>
        <v>-7000</v>
      </c>
      <c r="J43" s="165">
        <v>0</v>
      </c>
    </row>
    <row r="44" spans="2:10" ht="12.75">
      <c r="B44" t="s">
        <v>40</v>
      </c>
      <c r="H44" s="115">
        <f>'[3]cashflow'!$H$84</f>
        <v>1362.3544115490001</v>
      </c>
      <c r="J44" s="115">
        <f>671</f>
        <v>671</v>
      </c>
    </row>
    <row r="45" spans="2:10" ht="12.75">
      <c r="B45" t="s">
        <v>138</v>
      </c>
      <c r="H45" s="115">
        <v>0</v>
      </c>
      <c r="J45" s="115">
        <f>6699</f>
        <v>6699</v>
      </c>
    </row>
    <row r="46" spans="2:10" ht="12.75">
      <c r="B46" s="103" t="s">
        <v>148</v>
      </c>
      <c r="H46" s="115">
        <f>'[3]cashflow'!$H$91+'[3]cashflow'!$H$94+'[3]cashflow'!$H$89</f>
        <v>13851.904783236003</v>
      </c>
      <c r="J46" s="115">
        <f>4962</f>
        <v>4962</v>
      </c>
    </row>
    <row r="47" spans="2:10" ht="12.75">
      <c r="B47" s="103" t="s">
        <v>212</v>
      </c>
      <c r="H47" s="115">
        <v>0</v>
      </c>
      <c r="J47" s="115">
        <f>1650</f>
        <v>1650</v>
      </c>
    </row>
    <row r="48" spans="2:10" ht="12.75">
      <c r="B48" s="51" t="s">
        <v>97</v>
      </c>
      <c r="H48" s="115">
        <f>'[3]cashflow'!$H$86</f>
        <v>-2.6306799999999986</v>
      </c>
      <c r="J48" s="115">
        <f>-1-12</f>
        <v>-13</v>
      </c>
    </row>
    <row r="49" spans="2:10" ht="12.75">
      <c r="B49" s="103" t="s">
        <v>113</v>
      </c>
      <c r="H49" s="115">
        <v>0</v>
      </c>
      <c r="J49" s="115">
        <f>-1</f>
        <v>-1</v>
      </c>
    </row>
    <row r="50" spans="2:10" ht="12.75">
      <c r="B50" s="51" t="s">
        <v>42</v>
      </c>
      <c r="H50" s="115">
        <f>'[3]cashflow'!$H$96+'[3]cashflow'!$H$82</f>
        <v>3936.276166266</v>
      </c>
      <c r="J50" s="115">
        <f>803</f>
        <v>803</v>
      </c>
    </row>
    <row r="51" spans="2:10" ht="12.75">
      <c r="B51" s="103" t="s">
        <v>159</v>
      </c>
      <c r="H51" s="115">
        <f>'[3]cashflow'!$H$99+'[3]cashflow'!$H$97</f>
        <v>0</v>
      </c>
      <c r="J51" s="115">
        <f>-260</f>
        <v>-260</v>
      </c>
    </row>
    <row r="52" spans="8:10" ht="12.75">
      <c r="H52" s="115"/>
      <c r="J52" s="43"/>
    </row>
    <row r="53" spans="2:10" ht="12.75">
      <c r="B53" s="14" t="s">
        <v>151</v>
      </c>
      <c r="H53" s="132">
        <f>SUM(H40:H51)-1</f>
        <v>7960.6076974510015</v>
      </c>
      <c r="J53" s="52">
        <f>SUM(J41:J52)</f>
        <v>1529</v>
      </c>
    </row>
    <row r="54" spans="8:10" ht="12.75">
      <c r="H54" s="115"/>
      <c r="J54" s="43"/>
    </row>
    <row r="55" spans="1:10" ht="12.75">
      <c r="A55" s="4" t="s">
        <v>41</v>
      </c>
      <c r="H55" s="115"/>
      <c r="J55" s="43"/>
    </row>
    <row r="56" spans="1:10" ht="12.75">
      <c r="A56" s="4"/>
      <c r="B56" t="s">
        <v>213</v>
      </c>
      <c r="H56" s="115">
        <f>'[3]cashflow'!$H$109</f>
        <v>-31351.48926139201</v>
      </c>
      <c r="J56" s="43">
        <f>52817</f>
        <v>52817</v>
      </c>
    </row>
    <row r="57" spans="1:10" ht="12.75">
      <c r="A57" s="4"/>
      <c r="B57" t="s">
        <v>214</v>
      </c>
      <c r="H57" s="115">
        <f>'[3]cashflow'!$H$110</f>
        <v>-1975.7313799999974</v>
      </c>
      <c r="J57" s="43">
        <f>14624</f>
        <v>14624</v>
      </c>
    </row>
    <row r="58" spans="1:10" ht="12.75">
      <c r="A58" s="4"/>
      <c r="B58" t="s">
        <v>111</v>
      </c>
      <c r="H58" s="115">
        <f>'[3]cashflow'!$H$114</f>
        <v>-1953</v>
      </c>
      <c r="J58" s="43">
        <f>-463</f>
        <v>-463</v>
      </c>
    </row>
    <row r="59" spans="1:10" ht="12.75">
      <c r="A59" s="4"/>
      <c r="B59" t="s">
        <v>114</v>
      </c>
      <c r="H59" s="115">
        <f>'[3]cashflow'!$H$112</f>
        <v>196009.69969702399</v>
      </c>
      <c r="J59" s="43">
        <f>305786</f>
        <v>305786</v>
      </c>
    </row>
    <row r="60" spans="2:10" ht="12.75">
      <c r="B60" s="51" t="s">
        <v>103</v>
      </c>
      <c r="H60" s="115">
        <f>'[3]cashflow'!$H$113</f>
        <v>-108974.58353702398</v>
      </c>
      <c r="J60" s="43">
        <f>-376766</f>
        <v>-376766</v>
      </c>
    </row>
    <row r="61" spans="2:10" ht="12.75">
      <c r="B61" s="51" t="s">
        <v>106</v>
      </c>
      <c r="H61" s="115">
        <f>'[3]cashflow'!$H$111</f>
        <v>-3767.1675991999996</v>
      </c>
      <c r="J61" s="43">
        <f>-2383</f>
        <v>-2383</v>
      </c>
    </row>
    <row r="62" spans="8:10" ht="12.75">
      <c r="H62" s="115"/>
      <c r="J62" s="43"/>
    </row>
    <row r="63" spans="2:10" ht="12.75">
      <c r="B63" s="14" t="s">
        <v>184</v>
      </c>
      <c r="H63" s="132">
        <f>SUM(H56:H62)</f>
        <v>47987.72791940798</v>
      </c>
      <c r="J63" s="52">
        <f>SUM(J56:J61)</f>
        <v>-6385</v>
      </c>
    </row>
    <row r="64" spans="8:10" ht="12.75">
      <c r="H64" s="115"/>
      <c r="J64" s="43"/>
    </row>
    <row r="65" spans="1:10" ht="12.75">
      <c r="A65" s="14" t="s">
        <v>232</v>
      </c>
      <c r="H65" s="115">
        <f>H37+H53+H63</f>
        <v>-119703.40695200383</v>
      </c>
      <c r="J65" s="43">
        <f>J37+J53+J63</f>
        <v>7802</v>
      </c>
    </row>
    <row r="66" spans="8:10" ht="12.75">
      <c r="H66" s="115"/>
      <c r="J66" s="43"/>
    </row>
    <row r="67" spans="1:10" ht="12.75">
      <c r="A67" s="14" t="s">
        <v>185</v>
      </c>
      <c r="H67" s="115">
        <f>183931</f>
        <v>183931</v>
      </c>
      <c r="J67" s="43">
        <f>168337</f>
        <v>168337</v>
      </c>
    </row>
    <row r="68" spans="1:10" ht="12.75">
      <c r="A68" s="4"/>
      <c r="H68" s="115"/>
      <c r="J68" s="43"/>
    </row>
    <row r="69" spans="1:10" ht="12.75">
      <c r="A69" s="4" t="s">
        <v>43</v>
      </c>
      <c r="H69" s="115">
        <f>'[3]cashflow'!$H$125</f>
        <v>367.56803296949755</v>
      </c>
      <c r="J69" s="43">
        <f>-167</f>
        <v>-167</v>
      </c>
    </row>
    <row r="70" spans="1:10" ht="12.75">
      <c r="A70" s="4"/>
      <c r="H70" s="115"/>
      <c r="J70" s="43"/>
    </row>
    <row r="71" spans="1:10" ht="13.5" thickBot="1">
      <c r="A71" s="14" t="s">
        <v>195</v>
      </c>
      <c r="H71" s="129">
        <f>SUM(H65:H69)+1</f>
        <v>64596.16108096566</v>
      </c>
      <c r="J71" s="50">
        <f>SUM(J65:J69)</f>
        <v>175972</v>
      </c>
    </row>
    <row r="72" spans="8:10" ht="12.75">
      <c r="H72" s="120"/>
      <c r="J72" s="43"/>
    </row>
    <row r="73" spans="8:10" ht="12.75">
      <c r="H73" s="120"/>
      <c r="J73" s="43"/>
    </row>
    <row r="74" spans="1:10" ht="12.75">
      <c r="A74" s="14" t="s">
        <v>44</v>
      </c>
      <c r="H74" s="120"/>
      <c r="J74" s="43"/>
    </row>
    <row r="75" spans="8:10" ht="12.75">
      <c r="H75" s="120"/>
      <c r="J75" s="43"/>
    </row>
    <row r="76" spans="2:10" ht="12.75">
      <c r="B76" s="14" t="s">
        <v>104</v>
      </c>
      <c r="H76" s="115">
        <f>'[3]cashflow'!$H$134</f>
        <v>-24843</v>
      </c>
      <c r="J76" s="43">
        <f>-889</f>
        <v>-889</v>
      </c>
    </row>
    <row r="77" spans="2:10" ht="12.75">
      <c r="B77" s="4" t="s">
        <v>13</v>
      </c>
      <c r="H77" s="115">
        <f>'[3]cashflow'!$H$132</f>
        <v>48374.12845888501</v>
      </c>
      <c r="J77" s="43">
        <f>40978</f>
        <v>40978</v>
      </c>
    </row>
    <row r="78" spans="2:10" ht="12.75">
      <c r="B78" s="4" t="s">
        <v>45</v>
      </c>
      <c r="H78" s="115">
        <f>'[3]cashflow'!$H$133</f>
        <v>41064.72233821999</v>
      </c>
      <c r="J78" s="43">
        <f>135883</f>
        <v>135883</v>
      </c>
    </row>
    <row r="79" spans="8:10" ht="12.75">
      <c r="H79" s="115"/>
      <c r="J79" s="43"/>
    </row>
    <row r="80" spans="8:10" ht="13.5" thickBot="1">
      <c r="H80" s="129">
        <f>SUM(H76:H78)</f>
        <v>64595.850797105</v>
      </c>
      <c r="J80" s="50">
        <f>SUM(J76:J78)</f>
        <v>175972</v>
      </c>
    </row>
    <row r="81" ht="12.75">
      <c r="H81" s="46"/>
    </row>
    <row r="82" ht="12.75">
      <c r="A82" s="14"/>
    </row>
    <row r="83" spans="1:12" ht="12.75">
      <c r="A83" s="183" t="s">
        <v>149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</row>
    <row r="84" spans="1:12" ht="12.75">
      <c r="A84" s="183" t="s">
        <v>180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</row>
    <row r="85" spans="1:12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</row>
  </sheetData>
  <mergeCells count="6">
    <mergeCell ref="A85:L85"/>
    <mergeCell ref="A83:L83"/>
    <mergeCell ref="A84:L84"/>
    <mergeCell ref="A1:K1"/>
    <mergeCell ref="A2:K2"/>
    <mergeCell ref="A3:K3"/>
  </mergeCells>
  <printOptions/>
  <pageMargins left="1.19" right="0.24" top="0.33" bottom="0" header="0.24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Bhd</cp:lastModifiedBy>
  <cp:lastPrinted>2012-02-28T10:20:39Z</cp:lastPrinted>
  <dcterms:created xsi:type="dcterms:W3CDTF">2000-02-14T08:00:04Z</dcterms:created>
  <dcterms:modified xsi:type="dcterms:W3CDTF">2012-02-28T10:53:31Z</dcterms:modified>
  <cp:category/>
  <cp:version/>
  <cp:contentType/>
  <cp:contentStatus/>
</cp:coreProperties>
</file>